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resa\Durham Christian Partnership\Foodbank Data - Documents\DFB Statistics\4f. Statistics\Regular Reports\"/>
    </mc:Choice>
  </mc:AlternateContent>
  <xr:revisionPtr revIDLastSave="0" documentId="11_721125C7C6CA9B4FA93F44C35611D7627A297BB3" xr6:coauthVersionLast="47" xr6:coauthVersionMax="47" xr10:uidLastSave="{00000000-0000-0000-0000-000000000000}"/>
  <bookViews>
    <workbookView xWindow="0" yWindow="0" windowWidth="4665" windowHeight="3840" tabRatio="437" firstSheet="1" activeTab="1" xr2:uid="{00000000-000D-0000-FFFF-FFFF00000000}"/>
  </bookViews>
  <sheets>
    <sheet name="Graphs" sheetId="5" r:id="rId1"/>
    <sheet name="Monthly Stats" sheetId="1" r:id="rId2"/>
    <sheet name="Reasons Mth Qtr Yr" sheetId="3" r:id="rId3"/>
    <sheet name="Sheet1" sheetId="4" r:id="rId4"/>
    <sheet name="Sheet2" sheetId="2" r:id="rId5"/>
    <sheet name="Sheet3" sheetId="6" r:id="rId6"/>
  </sheets>
  <definedNames>
    <definedName name="_xlnm.Print_Area" localSheetId="1">'Monthly Stats'!$A$74:$O$97</definedName>
    <definedName name="_xlnm.Print_Titles" localSheetId="1">'Monthly Stats'!$1:$2</definedName>
  </definedNames>
  <calcPr calcId="162913"/>
</workbook>
</file>

<file path=xl/calcChain.xml><?xml version="1.0" encoding="utf-8"?>
<calcChain xmlns="http://schemas.openxmlformats.org/spreadsheetml/2006/main">
  <c r="L135" i="1" l="1"/>
  <c r="K135" i="1"/>
  <c r="L134" i="1"/>
  <c r="K134" i="1"/>
  <c r="AQ135" i="1" l="1"/>
  <c r="AB135" i="1" l="1"/>
  <c r="AC135" i="1"/>
  <c r="AD135" i="1"/>
  <c r="AF135" i="1"/>
  <c r="AG135" i="1"/>
  <c r="AH135" i="1"/>
  <c r="AI135" i="1"/>
  <c r="Y135" i="1"/>
  <c r="AM135" i="1"/>
  <c r="AL135" i="1"/>
  <c r="Z135" i="1"/>
  <c r="M135" i="1"/>
  <c r="J135" i="1"/>
  <c r="AN135" i="1" l="1"/>
  <c r="AO135" i="1" s="1"/>
  <c r="T135" i="1"/>
  <c r="AR135" i="1"/>
  <c r="K133" i="1"/>
  <c r="AF134" i="1" l="1"/>
  <c r="AG134" i="1"/>
  <c r="AH134" i="1"/>
  <c r="AL134" i="1"/>
  <c r="AM134" i="1"/>
  <c r="AQ134" i="1"/>
  <c r="Y134" i="1"/>
  <c r="Z134" i="1"/>
  <c r="M134" i="1"/>
  <c r="J134" i="1"/>
  <c r="R135" i="1" l="1"/>
  <c r="N135" i="1"/>
  <c r="AN134" i="1"/>
  <c r="AO134" i="1" s="1"/>
  <c r="T134" i="1"/>
  <c r="L133" i="1"/>
  <c r="L132" i="1"/>
  <c r="K132" i="1"/>
  <c r="L131" i="1"/>
  <c r="K131" i="1"/>
  <c r="AQ132" i="1" l="1"/>
  <c r="AQ133" i="1"/>
  <c r="AF133" i="1"/>
  <c r="AG133" i="1"/>
  <c r="AH133" i="1"/>
  <c r="AL133" i="1"/>
  <c r="AM133" i="1"/>
  <c r="Y133" i="1"/>
  <c r="Z133" i="1"/>
  <c r="AN133" i="1" l="1"/>
  <c r="AO133" i="1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M133" i="1"/>
  <c r="T133" i="1" s="1"/>
  <c r="J133" i="1"/>
  <c r="T193" i="3" l="1"/>
  <c r="N180" i="3" l="1"/>
  <c r="N181" i="3"/>
  <c r="N182" i="3"/>
  <c r="N183" i="3"/>
  <c r="N184" i="3"/>
  <c r="N185" i="3"/>
  <c r="N186" i="3"/>
  <c r="N187" i="3"/>
  <c r="N188" i="3"/>
  <c r="N189" i="3"/>
  <c r="N190" i="3"/>
  <c r="N191" i="3"/>
  <c r="N192" i="3"/>
  <c r="H191" i="3"/>
  <c r="N193" i="3" l="1"/>
  <c r="O181" i="3" s="1"/>
  <c r="Z132" i="1"/>
  <c r="Y132" i="1"/>
  <c r="AF132" i="1"/>
  <c r="AG132" i="1"/>
  <c r="AH132" i="1"/>
  <c r="AL132" i="1"/>
  <c r="AM132" i="1"/>
  <c r="M132" i="1"/>
  <c r="J132" i="1"/>
  <c r="N134" i="1" l="1"/>
  <c r="O135" i="1" s="1"/>
  <c r="AN132" i="1"/>
  <c r="AO132" i="1" s="1"/>
  <c r="T132" i="1"/>
  <c r="O192" i="3"/>
  <c r="O183" i="3"/>
  <c r="O191" i="3"/>
  <c r="O182" i="3"/>
  <c r="O186" i="3"/>
  <c r="O193" i="3"/>
  <c r="O184" i="3"/>
  <c r="O188" i="3"/>
  <c r="O185" i="3"/>
  <c r="O190" i="3"/>
  <c r="O189" i="3"/>
  <c r="O187" i="3"/>
  <c r="O180" i="3"/>
  <c r="L130" i="1"/>
  <c r="AQ131" i="1" l="1"/>
  <c r="AF131" i="1" l="1"/>
  <c r="AG131" i="1"/>
  <c r="AH131" i="1"/>
  <c r="Z131" i="1"/>
  <c r="Z129" i="1"/>
  <c r="Z130" i="1"/>
  <c r="Y131" i="1"/>
  <c r="AM131" i="1"/>
  <c r="AL131" i="1"/>
  <c r="J131" i="1"/>
  <c r="AN131" i="1" l="1"/>
  <c r="AO131" i="1" s="1"/>
  <c r="M131" i="1"/>
  <c r="AQ130" i="1"/>
  <c r="K130" i="1"/>
  <c r="N133" i="1" l="1"/>
  <c r="T131" i="1"/>
  <c r="AF130" i="1"/>
  <c r="AG130" i="1"/>
  <c r="AH130" i="1"/>
  <c r="AL130" i="1"/>
  <c r="AM130" i="1"/>
  <c r="Y130" i="1"/>
  <c r="M130" i="1"/>
  <c r="N132" i="1" s="1"/>
  <c r="J130" i="1"/>
  <c r="AN130" i="1" l="1"/>
  <c r="AO130" i="1" s="1"/>
  <c r="T130" i="1"/>
  <c r="K129" i="1"/>
  <c r="K128" i="1"/>
  <c r="K127" i="1"/>
  <c r="L129" i="1" l="1"/>
  <c r="AQ128" i="1" l="1"/>
  <c r="AQ129" i="1"/>
  <c r="AF129" i="1"/>
  <c r="AG129" i="1"/>
  <c r="AH129" i="1"/>
  <c r="Y129" i="1"/>
  <c r="M129" i="1"/>
  <c r="AM129" i="1"/>
  <c r="AL129" i="1"/>
  <c r="J129" i="1"/>
  <c r="T129" i="1" l="1"/>
  <c r="N131" i="1"/>
  <c r="AN129" i="1"/>
  <c r="AO129" i="1" s="1"/>
  <c r="L128" i="1"/>
  <c r="AL128" i="1" l="1"/>
  <c r="Y128" i="1"/>
  <c r="Z128" i="1"/>
  <c r="AF128" i="1"/>
  <c r="AG128" i="1"/>
  <c r="AH128" i="1"/>
  <c r="AM128" i="1"/>
  <c r="J128" i="1"/>
  <c r="AN128" i="1" l="1"/>
  <c r="AO128" i="1" s="1"/>
  <c r="M128" i="1"/>
  <c r="N130" i="1" s="1"/>
  <c r="L127" i="1"/>
  <c r="T128" i="1" l="1"/>
  <c r="K119" i="1"/>
  <c r="Y82" i="1" l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81" i="1"/>
  <c r="AI132" i="1" l="1"/>
  <c r="AI134" i="1"/>
  <c r="AI133" i="1"/>
  <c r="AI128" i="1"/>
  <c r="AI131" i="1"/>
  <c r="AI130" i="1"/>
  <c r="AI129" i="1"/>
  <c r="AQ127" i="1"/>
  <c r="Y193" i="3" l="1"/>
  <c r="X193" i="3"/>
  <c r="W193" i="3"/>
  <c r="S193" i="3"/>
  <c r="R193" i="3"/>
  <c r="Q193" i="3"/>
  <c r="M193" i="3"/>
  <c r="L193" i="3"/>
  <c r="K193" i="3"/>
  <c r="F193" i="3"/>
  <c r="G193" i="3"/>
  <c r="E193" i="3"/>
  <c r="Z193" i="3"/>
  <c r="H192" i="3"/>
  <c r="B192" i="3" s="1"/>
  <c r="B191" i="3"/>
  <c r="H190" i="3"/>
  <c r="B190" i="3" s="1"/>
  <c r="H189" i="3"/>
  <c r="B189" i="3" s="1"/>
  <c r="H188" i="3"/>
  <c r="B188" i="3" s="1"/>
  <c r="H187" i="3"/>
  <c r="B187" i="3" s="1"/>
  <c r="H186" i="3"/>
  <c r="B186" i="3" s="1"/>
  <c r="H185" i="3"/>
  <c r="B185" i="3" s="1"/>
  <c r="H184" i="3"/>
  <c r="B184" i="3" s="1"/>
  <c r="H183" i="3"/>
  <c r="B183" i="3" s="1"/>
  <c r="H182" i="3"/>
  <c r="B182" i="3" s="1"/>
  <c r="H181" i="3"/>
  <c r="B181" i="3" s="1"/>
  <c r="H180" i="3"/>
  <c r="H193" i="3" s="1"/>
  <c r="H166" i="3"/>
  <c r="M127" i="1"/>
  <c r="Z127" i="1"/>
  <c r="AF127" i="1"/>
  <c r="AG127" i="1"/>
  <c r="AH127" i="1"/>
  <c r="AL127" i="1"/>
  <c r="AM127" i="1"/>
  <c r="J127" i="1"/>
  <c r="N129" i="1" l="1"/>
  <c r="AN127" i="1"/>
  <c r="AO127" i="1" s="1"/>
  <c r="B180" i="3"/>
  <c r="T127" i="1"/>
  <c r="AI127" i="1"/>
  <c r="L126" i="1"/>
  <c r="K126" i="1"/>
  <c r="U191" i="3" l="1"/>
  <c r="I191" i="3"/>
  <c r="AA181" i="3"/>
  <c r="U187" i="3"/>
  <c r="AA192" i="3"/>
  <c r="AA184" i="3"/>
  <c r="B193" i="3"/>
  <c r="C193" i="3" s="1"/>
  <c r="U185" i="3"/>
  <c r="I190" i="3"/>
  <c r="U193" i="3"/>
  <c r="U180" i="3"/>
  <c r="U189" i="3"/>
  <c r="AA180" i="3"/>
  <c r="I189" i="3"/>
  <c r="I188" i="3"/>
  <c r="I187" i="3"/>
  <c r="I186" i="3"/>
  <c r="U182" i="3"/>
  <c r="I181" i="3"/>
  <c r="AA183" i="3"/>
  <c r="U184" i="3"/>
  <c r="AA189" i="3"/>
  <c r="AA187" i="3"/>
  <c r="AA190" i="3"/>
  <c r="AA185" i="3"/>
  <c r="I182" i="3"/>
  <c r="U186" i="3"/>
  <c r="I193" i="3"/>
  <c r="AA191" i="3"/>
  <c r="I184" i="3"/>
  <c r="U192" i="3"/>
  <c r="AA182" i="3"/>
  <c r="U183" i="3"/>
  <c r="I180" i="3"/>
  <c r="U190" i="3"/>
  <c r="AA188" i="3"/>
  <c r="I185" i="3"/>
  <c r="U181" i="3"/>
  <c r="I192" i="3"/>
  <c r="U188" i="3"/>
  <c r="AA186" i="3"/>
  <c r="I183" i="3"/>
  <c r="AA193" i="3"/>
  <c r="AM126" i="1"/>
  <c r="AF126" i="1"/>
  <c r="AG126" i="1"/>
  <c r="AH126" i="1"/>
  <c r="AL126" i="1"/>
  <c r="AQ126" i="1"/>
  <c r="AI126" i="1"/>
  <c r="Z126" i="1"/>
  <c r="P194" i="3" l="1"/>
  <c r="C189" i="3"/>
  <c r="C184" i="3"/>
  <c r="C191" i="3"/>
  <c r="C185" i="3"/>
  <c r="C180" i="3"/>
  <c r="C190" i="3"/>
  <c r="C187" i="3"/>
  <c r="C192" i="3"/>
  <c r="C182" i="3"/>
  <c r="C183" i="3"/>
  <c r="C186" i="3"/>
  <c r="C188" i="3"/>
  <c r="C181" i="3"/>
  <c r="AN126" i="1"/>
  <c r="M126" i="1"/>
  <c r="N128" i="1" s="1"/>
  <c r="J126" i="1"/>
  <c r="D194" i="3" l="1"/>
  <c r="Y175" i="3"/>
  <c r="AO126" i="1"/>
  <c r="T126" i="1"/>
  <c r="L125" i="1"/>
  <c r="K125" i="1"/>
  <c r="AQ125" i="1" l="1"/>
  <c r="AH125" i="1"/>
  <c r="AG125" i="1"/>
  <c r="AF125" i="1"/>
  <c r="AL125" i="1"/>
  <c r="AM125" i="1"/>
  <c r="Z125" i="1"/>
  <c r="AJ135" i="1" s="1"/>
  <c r="M125" i="1"/>
  <c r="N127" i="1" l="1"/>
  <c r="AN125" i="1"/>
  <c r="T125" i="1"/>
  <c r="AO125" i="1"/>
  <c r="X175" i="3"/>
  <c r="J125" i="1" l="1"/>
  <c r="Z161" i="3" l="1"/>
  <c r="L124" i="1"/>
  <c r="K124" i="1"/>
  <c r="AQ123" i="1" l="1"/>
  <c r="AQ124" i="1"/>
  <c r="Z124" i="1" l="1"/>
  <c r="AF124" i="1"/>
  <c r="AG124" i="1"/>
  <c r="AH124" i="1"/>
  <c r="AL124" i="1"/>
  <c r="AM124" i="1"/>
  <c r="M124" i="1"/>
  <c r="N126" i="1" s="1"/>
  <c r="J124" i="1"/>
  <c r="AN124" i="1" l="1"/>
  <c r="AO124" i="1" s="1"/>
  <c r="W175" i="3"/>
  <c r="T124" i="1"/>
  <c r="L123" i="1"/>
  <c r="K123" i="1"/>
  <c r="Z123" i="1" l="1"/>
  <c r="AJ134" i="1" s="1"/>
  <c r="AF123" i="1"/>
  <c r="AH123" i="1"/>
  <c r="AL123" i="1"/>
  <c r="AM123" i="1"/>
  <c r="J123" i="1"/>
  <c r="M123" i="1"/>
  <c r="R134" i="1" s="1"/>
  <c r="AN123" i="1" l="1"/>
  <c r="S175" i="3"/>
  <c r="N125" i="1"/>
  <c r="T123" i="1"/>
  <c r="AO123" i="1"/>
  <c r="Z122" i="1"/>
  <c r="AJ133" i="1" s="1"/>
  <c r="AF122" i="1" l="1"/>
  <c r="AH122" i="1"/>
  <c r="AQ122" i="1"/>
  <c r="L122" i="1"/>
  <c r="AM122" i="1" s="1"/>
  <c r="K122" i="1"/>
  <c r="J122" i="1"/>
  <c r="AL122" i="1" l="1"/>
  <c r="AN122" i="1" s="1"/>
  <c r="AO122" i="1" s="1"/>
  <c r="M122" i="1"/>
  <c r="B136" i="3"/>
  <c r="N124" i="1" l="1"/>
  <c r="AR134" i="1"/>
  <c r="R133" i="1"/>
  <c r="R175" i="3"/>
  <c r="T122" i="1"/>
  <c r="Z121" i="1"/>
  <c r="AJ132" i="1" s="1"/>
  <c r="AF121" i="1" l="1"/>
  <c r="AH121" i="1"/>
  <c r="AQ121" i="1"/>
  <c r="L121" i="1"/>
  <c r="AM121" i="1" s="1"/>
  <c r="K121" i="1"/>
  <c r="AL121" i="1" s="1"/>
  <c r="AN121" i="1" l="1"/>
  <c r="M121" i="1"/>
  <c r="K120" i="1"/>
  <c r="T121" i="1" l="1"/>
  <c r="AR133" i="1"/>
  <c r="R132" i="1"/>
  <c r="N123" i="1"/>
  <c r="O134" i="1" s="1"/>
  <c r="Q175" i="3"/>
  <c r="AO121" i="1"/>
  <c r="L120" i="1"/>
  <c r="AG123" i="1"/>
  <c r="AG122" i="1" l="1"/>
  <c r="AG121" i="1"/>
  <c r="Z120" i="1"/>
  <c r="AJ131" i="1" s="1"/>
  <c r="AF120" i="1"/>
  <c r="AG120" i="1"/>
  <c r="AH120" i="1"/>
  <c r="AL120" i="1"/>
  <c r="AM120" i="1"/>
  <c r="AQ120" i="1"/>
  <c r="M120" i="1"/>
  <c r="AR132" i="1" s="1"/>
  <c r="T120" i="1" l="1"/>
  <c r="R131" i="1"/>
  <c r="AN120" i="1"/>
  <c r="AO120" i="1" s="1"/>
  <c r="M175" i="3"/>
  <c r="N122" i="1"/>
  <c r="O133" i="1" s="1"/>
  <c r="L119" i="1"/>
  <c r="J175" i="3"/>
  <c r="AL119" i="1" l="1"/>
  <c r="AM119" i="1"/>
  <c r="AQ119" i="1"/>
  <c r="AH119" i="1"/>
  <c r="AG119" i="1"/>
  <c r="AF119" i="1"/>
  <c r="Z119" i="1"/>
  <c r="AJ130" i="1" s="1"/>
  <c r="M119" i="1"/>
  <c r="AR131" i="1" s="1"/>
  <c r="T119" i="1" l="1"/>
  <c r="R130" i="1"/>
  <c r="AN119" i="1"/>
  <c r="AO119" i="1" s="1"/>
  <c r="L175" i="3"/>
  <c r="N121" i="1"/>
  <c r="O132" i="1" s="1"/>
  <c r="L118" i="1"/>
  <c r="K118" i="1"/>
  <c r="Z118" i="1" l="1"/>
  <c r="AJ129" i="1" s="1"/>
  <c r="AF118" i="1"/>
  <c r="AG118" i="1"/>
  <c r="AH118" i="1"/>
  <c r="AL118" i="1"/>
  <c r="AM118" i="1"/>
  <c r="AQ118" i="1"/>
  <c r="M118" i="1"/>
  <c r="AR130" i="1" s="1"/>
  <c r="T118" i="1" l="1"/>
  <c r="R129" i="1"/>
  <c r="AN118" i="1"/>
  <c r="AO118" i="1" s="1"/>
  <c r="K175" i="3"/>
  <c r="N120" i="1"/>
  <c r="O131" i="1" s="1"/>
  <c r="L117" i="1"/>
  <c r="K117" i="1"/>
  <c r="K116" i="1" l="1"/>
  <c r="AQ117" i="1" l="1"/>
  <c r="AF117" i="1"/>
  <c r="AG117" i="1"/>
  <c r="AH117" i="1"/>
  <c r="AM117" i="1"/>
  <c r="AL117" i="1"/>
  <c r="AN117" i="1" s="1"/>
  <c r="Z117" i="1"/>
  <c r="AJ128" i="1" s="1"/>
  <c r="M117" i="1" l="1"/>
  <c r="T117" i="1" l="1"/>
  <c r="AR129" i="1"/>
  <c r="R128" i="1"/>
  <c r="G175" i="3"/>
  <c r="N119" i="1"/>
  <c r="O130" i="1" s="1"/>
  <c r="AO117" i="1"/>
  <c r="L116" i="1" l="1"/>
  <c r="L115" i="1"/>
  <c r="K115" i="1"/>
  <c r="L114" i="1"/>
  <c r="K114" i="1"/>
  <c r="AM116" i="1" l="1"/>
  <c r="AL116" i="1"/>
  <c r="AN116" i="1" s="1"/>
  <c r="M116" i="1"/>
  <c r="AR128" i="1" s="1"/>
  <c r="T116" i="1" l="1"/>
  <c r="R127" i="1"/>
  <c r="F175" i="3"/>
  <c r="N118" i="1"/>
  <c r="O129" i="1" s="1"/>
  <c r="AO116" i="1"/>
  <c r="AI125" i="1" l="1"/>
  <c r="Y174" i="3" l="1"/>
  <c r="X174" i="3"/>
  <c r="W174" i="3"/>
  <c r="S174" i="3"/>
  <c r="R174" i="3"/>
  <c r="Q174" i="3"/>
  <c r="M174" i="3"/>
  <c r="L174" i="3"/>
  <c r="K174" i="3"/>
  <c r="Z173" i="3"/>
  <c r="T173" i="3"/>
  <c r="N173" i="3"/>
  <c r="Z172" i="3"/>
  <c r="T172" i="3"/>
  <c r="N172" i="3"/>
  <c r="Z171" i="3"/>
  <c r="T171" i="3"/>
  <c r="N171" i="3"/>
  <c r="Z170" i="3"/>
  <c r="T170" i="3"/>
  <c r="N170" i="3"/>
  <c r="Z169" i="3"/>
  <c r="T169" i="3"/>
  <c r="N169" i="3"/>
  <c r="Z168" i="3"/>
  <c r="T168" i="3"/>
  <c r="N168" i="3"/>
  <c r="Z167" i="3"/>
  <c r="T167" i="3"/>
  <c r="N167" i="3"/>
  <c r="Z166" i="3"/>
  <c r="T166" i="3"/>
  <c r="N166" i="3"/>
  <c r="Z165" i="3"/>
  <c r="T165" i="3"/>
  <c r="N165" i="3"/>
  <c r="Z164" i="3"/>
  <c r="T164" i="3"/>
  <c r="N164" i="3"/>
  <c r="Z163" i="3"/>
  <c r="T163" i="3"/>
  <c r="N163" i="3"/>
  <c r="Z162" i="3"/>
  <c r="T162" i="3"/>
  <c r="N162" i="3"/>
  <c r="T161" i="3"/>
  <c r="N161" i="3"/>
  <c r="G174" i="3"/>
  <c r="F174" i="3"/>
  <c r="E174" i="3"/>
  <c r="H173" i="3"/>
  <c r="H172" i="3"/>
  <c r="H171" i="3"/>
  <c r="H170" i="3"/>
  <c r="H169" i="3"/>
  <c r="H168" i="3"/>
  <c r="H167" i="3"/>
  <c r="H165" i="3"/>
  <c r="H164" i="3"/>
  <c r="H163" i="3"/>
  <c r="H162" i="3"/>
  <c r="H161" i="3"/>
  <c r="B162" i="3" l="1"/>
  <c r="H174" i="3"/>
  <c r="B161" i="3"/>
  <c r="B169" i="3"/>
  <c r="B165" i="3"/>
  <c r="B173" i="3"/>
  <c r="B172" i="3"/>
  <c r="B168" i="3"/>
  <c r="B164" i="3"/>
  <c r="B166" i="3"/>
  <c r="B170" i="3"/>
  <c r="B163" i="3"/>
  <c r="B167" i="3"/>
  <c r="B171" i="3"/>
  <c r="Z174" i="3"/>
  <c r="N174" i="3"/>
  <c r="O161" i="3" s="1"/>
  <c r="T174" i="3"/>
  <c r="U173" i="3" s="1"/>
  <c r="B174" i="3" l="1"/>
  <c r="I161" i="3"/>
  <c r="O164" i="3"/>
  <c r="O162" i="3"/>
  <c r="I169" i="3"/>
  <c r="O167" i="3"/>
  <c r="U172" i="3"/>
  <c r="U171" i="3"/>
  <c r="U165" i="3"/>
  <c r="U167" i="3"/>
  <c r="O169" i="3"/>
  <c r="U161" i="3"/>
  <c r="O170" i="3"/>
  <c r="O171" i="3"/>
  <c r="O166" i="3"/>
  <c r="I170" i="3"/>
  <c r="U162" i="3"/>
  <c r="I171" i="3"/>
  <c r="O168" i="3"/>
  <c r="O173" i="3"/>
  <c r="O172" i="3"/>
  <c r="I167" i="3"/>
  <c r="U164" i="3"/>
  <c r="I168" i="3"/>
  <c r="O163" i="3"/>
  <c r="I162" i="3"/>
  <c r="O165" i="3"/>
  <c r="I166" i="3"/>
  <c r="I173" i="3"/>
  <c r="I163" i="3"/>
  <c r="I172" i="3"/>
  <c r="U169" i="3"/>
  <c r="U170" i="3"/>
  <c r="U163" i="3"/>
  <c r="I164" i="3"/>
  <c r="U166" i="3"/>
  <c r="I165" i="3"/>
  <c r="U168" i="3"/>
  <c r="L113" i="1"/>
  <c r="K113" i="1"/>
  <c r="J194" i="3" l="1"/>
  <c r="AB194" i="3"/>
  <c r="V194" i="3"/>
  <c r="C161" i="3"/>
  <c r="C163" i="3"/>
  <c r="C162" i="3"/>
  <c r="C174" i="3"/>
  <c r="C166" i="3"/>
  <c r="C171" i="3"/>
  <c r="C170" i="3"/>
  <c r="C169" i="3"/>
  <c r="C165" i="3"/>
  <c r="C172" i="3"/>
  <c r="C168" i="3"/>
  <c r="C173" i="3"/>
  <c r="C164" i="3"/>
  <c r="C167" i="3"/>
  <c r="I174" i="3"/>
  <c r="O174" i="3"/>
  <c r="U174" i="3"/>
  <c r="D175" i="3" l="1"/>
  <c r="Z113" i="1"/>
  <c r="AI124" i="1"/>
  <c r="Z112" i="1" l="1"/>
  <c r="L111" i="1" l="1"/>
  <c r="L112" i="1"/>
  <c r="K111" i="1"/>
  <c r="K112" i="1" l="1"/>
  <c r="AH112" i="1" l="1"/>
  <c r="AH110" i="1"/>
  <c r="AH111" i="1"/>
  <c r="AH113" i="1"/>
  <c r="AH114" i="1"/>
  <c r="AH115" i="1"/>
  <c r="AH116" i="1"/>
  <c r="AF110" i="1"/>
  <c r="AF111" i="1"/>
  <c r="AF112" i="1"/>
  <c r="AF113" i="1"/>
  <c r="AF114" i="1"/>
  <c r="AF115" i="1"/>
  <c r="AF116" i="1"/>
  <c r="AG110" i="1"/>
  <c r="AG111" i="1"/>
  <c r="AG112" i="1"/>
  <c r="AG113" i="1"/>
  <c r="AG114" i="1"/>
  <c r="AG115" i="1"/>
  <c r="AG116" i="1"/>
  <c r="AQ113" i="1" l="1"/>
  <c r="AQ114" i="1"/>
  <c r="AQ115" i="1"/>
  <c r="AQ116" i="1"/>
  <c r="AL112" i="1"/>
  <c r="AM112" i="1"/>
  <c r="AL113" i="1"/>
  <c r="AM113" i="1"/>
  <c r="AN113" i="1" s="1"/>
  <c r="AL114" i="1"/>
  <c r="AM114" i="1"/>
  <c r="AL115" i="1"/>
  <c r="AM115" i="1"/>
  <c r="AI123" i="1"/>
  <c r="Z114" i="1"/>
  <c r="Z115" i="1"/>
  <c r="Z116" i="1"/>
  <c r="AJ127" i="1" s="1"/>
  <c r="Z107" i="1"/>
  <c r="Z108" i="1"/>
  <c r="Z109" i="1"/>
  <c r="Z110" i="1"/>
  <c r="Z111" i="1"/>
  <c r="Z106" i="1"/>
  <c r="Z103" i="1"/>
  <c r="Z104" i="1"/>
  <c r="Z105" i="1"/>
  <c r="AN115" i="1" l="1"/>
  <c r="AN114" i="1"/>
  <c r="AN112" i="1"/>
  <c r="AJ126" i="1"/>
  <c r="AJ117" i="1"/>
  <c r="AJ125" i="1"/>
  <c r="AJ124" i="1"/>
  <c r="AI120" i="1"/>
  <c r="AJ119" i="1"/>
  <c r="AJ123" i="1"/>
  <c r="AI122" i="1"/>
  <c r="AI121" i="1"/>
  <c r="AJ122" i="1"/>
  <c r="AJ118" i="1"/>
  <c r="AJ121" i="1"/>
  <c r="AJ120" i="1"/>
  <c r="AJ114" i="1"/>
  <c r="AJ115" i="1"/>
  <c r="AJ116" i="1"/>
  <c r="M115" i="1" l="1"/>
  <c r="T115" i="1" l="1"/>
  <c r="AR127" i="1"/>
  <c r="R126" i="1"/>
  <c r="E175" i="3"/>
  <c r="N117" i="1"/>
  <c r="O128" i="1" s="1"/>
  <c r="AO115" i="1"/>
  <c r="M108" i="1"/>
  <c r="T108" i="1" s="1"/>
  <c r="M109" i="1"/>
  <c r="T109" i="1" s="1"/>
  <c r="M110" i="1"/>
  <c r="T110" i="1" s="1"/>
  <c r="M111" i="1"/>
  <c r="M112" i="1"/>
  <c r="M113" i="1"/>
  <c r="M114" i="1"/>
  <c r="R125" i="1" l="1"/>
  <c r="AR126" i="1"/>
  <c r="AR125" i="1"/>
  <c r="R124" i="1"/>
  <c r="T112" i="1"/>
  <c r="AR124" i="1"/>
  <c r="T111" i="1"/>
  <c r="AR123" i="1"/>
  <c r="Y156" i="3"/>
  <c r="T114" i="1"/>
  <c r="X156" i="3"/>
  <c r="T113" i="1"/>
  <c r="R122" i="1"/>
  <c r="S156" i="3"/>
  <c r="AR122" i="1"/>
  <c r="R156" i="3"/>
  <c r="R121" i="1"/>
  <c r="Q156" i="3"/>
  <c r="AR121" i="1"/>
  <c r="R120" i="1"/>
  <c r="R123" i="1"/>
  <c r="W156" i="3"/>
  <c r="M156" i="3"/>
  <c r="AR120" i="1"/>
  <c r="R119" i="1"/>
  <c r="N116" i="1"/>
  <c r="O127" i="1" s="1"/>
  <c r="AO114" i="1"/>
  <c r="AO113" i="1"/>
  <c r="N115" i="1"/>
  <c r="O126" i="1" s="1"/>
  <c r="N114" i="1"/>
  <c r="AO112" i="1"/>
  <c r="AI119" i="1"/>
  <c r="N110" i="1"/>
  <c r="N111" i="1"/>
  <c r="N112" i="1"/>
  <c r="N113" i="1"/>
  <c r="O124" i="1" s="1"/>
  <c r="M107" i="1"/>
  <c r="T107" i="1" s="1"/>
  <c r="AF103" i="1"/>
  <c r="AG103" i="1"/>
  <c r="AH103" i="1"/>
  <c r="AL103" i="1"/>
  <c r="AM103" i="1"/>
  <c r="AF104" i="1"/>
  <c r="AG104" i="1"/>
  <c r="AH104" i="1"/>
  <c r="AF105" i="1"/>
  <c r="AG105" i="1"/>
  <c r="AH105" i="1"/>
  <c r="AL105" i="1"/>
  <c r="AM105" i="1"/>
  <c r="AF106" i="1"/>
  <c r="AG106" i="1"/>
  <c r="AH106" i="1"/>
  <c r="AL106" i="1"/>
  <c r="AM106" i="1"/>
  <c r="AF107" i="1"/>
  <c r="AG107" i="1"/>
  <c r="AH107" i="1"/>
  <c r="AL107" i="1"/>
  <c r="AM107" i="1"/>
  <c r="AF108" i="1"/>
  <c r="AG108" i="1"/>
  <c r="AH108" i="1"/>
  <c r="AL108" i="1"/>
  <c r="AM108" i="1"/>
  <c r="AF109" i="1"/>
  <c r="AG109" i="1"/>
  <c r="AH109" i="1"/>
  <c r="AL109" i="1"/>
  <c r="AM109" i="1"/>
  <c r="AL110" i="1"/>
  <c r="AM110" i="1"/>
  <c r="AL111" i="1"/>
  <c r="AM111" i="1"/>
  <c r="O125" i="1" l="1"/>
  <c r="AN111" i="1"/>
  <c r="AO111" i="1" s="1"/>
  <c r="AN109" i="1"/>
  <c r="AO109" i="1" s="1"/>
  <c r="AN108" i="1"/>
  <c r="AO108" i="1" s="1"/>
  <c r="AN107" i="1"/>
  <c r="AO107" i="1" s="1"/>
  <c r="AN106" i="1"/>
  <c r="AN103" i="1"/>
  <c r="AN110" i="1"/>
  <c r="AO110" i="1" s="1"/>
  <c r="AN105" i="1"/>
  <c r="O122" i="1"/>
  <c r="AI117" i="1"/>
  <c r="L156" i="3"/>
  <c r="R118" i="1"/>
  <c r="AR119" i="1"/>
  <c r="O121" i="1"/>
  <c r="O123" i="1"/>
  <c r="AI118" i="1"/>
  <c r="AI115" i="1"/>
  <c r="AI114" i="1"/>
  <c r="AI116" i="1"/>
  <c r="N109" i="1"/>
  <c r="O120" i="1" s="1"/>
  <c r="H15" i="6"/>
  <c r="I15" i="6"/>
  <c r="J15" i="6"/>
  <c r="K15" i="6"/>
  <c r="L15" i="6"/>
  <c r="H16" i="6"/>
  <c r="I16" i="6"/>
  <c r="J16" i="6"/>
  <c r="K16" i="6"/>
  <c r="L16" i="6"/>
  <c r="H17" i="6"/>
  <c r="I17" i="6"/>
  <c r="J17" i="6"/>
  <c r="K17" i="6"/>
  <c r="L17" i="6"/>
  <c r="H18" i="6"/>
  <c r="I18" i="6"/>
  <c r="J18" i="6"/>
  <c r="K18" i="6"/>
  <c r="L18" i="6"/>
  <c r="H19" i="6"/>
  <c r="I19" i="6"/>
  <c r="J19" i="6"/>
  <c r="K19" i="6"/>
  <c r="L19" i="6"/>
  <c r="H20" i="6"/>
  <c r="I20" i="6"/>
  <c r="J20" i="6"/>
  <c r="K20" i="6"/>
  <c r="L20" i="6"/>
  <c r="H21" i="6"/>
  <c r="I21" i="6"/>
  <c r="J21" i="6"/>
  <c r="K21" i="6"/>
  <c r="L21" i="6"/>
  <c r="H22" i="6"/>
  <c r="I22" i="6"/>
  <c r="J22" i="6"/>
  <c r="K22" i="6"/>
  <c r="L22" i="6"/>
  <c r="H23" i="6"/>
  <c r="I23" i="6"/>
  <c r="J23" i="6"/>
  <c r="K23" i="6"/>
  <c r="L23" i="6"/>
  <c r="H24" i="6"/>
  <c r="I24" i="6"/>
  <c r="J24" i="6"/>
  <c r="K24" i="6"/>
  <c r="L24" i="6"/>
  <c r="H25" i="6"/>
  <c r="I25" i="6"/>
  <c r="J25" i="6"/>
  <c r="K25" i="6"/>
  <c r="L25" i="6"/>
  <c r="H26" i="6"/>
  <c r="I26" i="6"/>
  <c r="J26" i="6"/>
  <c r="K26" i="6"/>
  <c r="L26" i="6"/>
  <c r="H27" i="6"/>
  <c r="I27" i="6"/>
  <c r="J27" i="6"/>
  <c r="K27" i="6"/>
  <c r="L27" i="6"/>
  <c r="H28" i="6"/>
  <c r="I28" i="6"/>
  <c r="J28" i="6"/>
  <c r="K28" i="6"/>
  <c r="L28" i="6"/>
  <c r="H29" i="6"/>
  <c r="I29" i="6"/>
  <c r="J29" i="6"/>
  <c r="K29" i="6"/>
  <c r="L29" i="6"/>
  <c r="H30" i="6"/>
  <c r="I30" i="6"/>
  <c r="J30" i="6"/>
  <c r="K30" i="6"/>
  <c r="L30" i="6"/>
  <c r="H31" i="6"/>
  <c r="I31" i="6"/>
  <c r="J31" i="6"/>
  <c r="K31" i="6"/>
  <c r="L31" i="6"/>
  <c r="H32" i="6"/>
  <c r="I32" i="6"/>
  <c r="J32" i="6"/>
  <c r="K32" i="6"/>
  <c r="L32" i="6"/>
  <c r="H33" i="6"/>
  <c r="I33" i="6"/>
  <c r="J33" i="6"/>
  <c r="K33" i="6"/>
  <c r="L33" i="6"/>
  <c r="H34" i="6"/>
  <c r="I34" i="6"/>
  <c r="J34" i="6"/>
  <c r="K34" i="6"/>
  <c r="L34" i="6"/>
  <c r="H35" i="6"/>
  <c r="I35" i="6"/>
  <c r="J35" i="6"/>
  <c r="K35" i="6"/>
  <c r="L35" i="6"/>
  <c r="H36" i="6"/>
  <c r="I36" i="6"/>
  <c r="J36" i="6"/>
  <c r="K36" i="6"/>
  <c r="L36" i="6"/>
  <c r="H37" i="6"/>
  <c r="I37" i="6"/>
  <c r="J37" i="6"/>
  <c r="K37" i="6"/>
  <c r="L37" i="6"/>
  <c r="H38" i="6"/>
  <c r="I38" i="6"/>
  <c r="J38" i="6"/>
  <c r="K38" i="6"/>
  <c r="L38" i="6"/>
  <c r="H39" i="6"/>
  <c r="I39" i="6"/>
  <c r="J39" i="6"/>
  <c r="K39" i="6"/>
  <c r="L39" i="6"/>
  <c r="H40" i="6"/>
  <c r="I40" i="6"/>
  <c r="J40" i="6"/>
  <c r="K40" i="6"/>
  <c r="L40" i="6"/>
  <c r="H41" i="6"/>
  <c r="I41" i="6"/>
  <c r="J41" i="6"/>
  <c r="K41" i="6"/>
  <c r="L41" i="6"/>
  <c r="H42" i="6"/>
  <c r="I42" i="6"/>
  <c r="J42" i="6"/>
  <c r="K42" i="6"/>
  <c r="L42" i="6"/>
  <c r="H43" i="6"/>
  <c r="I43" i="6"/>
  <c r="J43" i="6"/>
  <c r="K43" i="6"/>
  <c r="L43" i="6"/>
  <c r="H44" i="6"/>
  <c r="I44" i="6"/>
  <c r="J44" i="6"/>
  <c r="K44" i="6"/>
  <c r="L44" i="6"/>
  <c r="H45" i="6"/>
  <c r="I45" i="6"/>
  <c r="J45" i="6"/>
  <c r="K45" i="6"/>
  <c r="L45" i="6"/>
  <c r="H46" i="6"/>
  <c r="I46" i="6"/>
  <c r="J46" i="6"/>
  <c r="K46" i="6"/>
  <c r="L46" i="6"/>
  <c r="H47" i="6"/>
  <c r="I47" i="6"/>
  <c r="J47" i="6"/>
  <c r="K47" i="6"/>
  <c r="L47" i="6"/>
  <c r="H48" i="6"/>
  <c r="I48" i="6"/>
  <c r="J48" i="6"/>
  <c r="K48" i="6"/>
  <c r="L48" i="6"/>
  <c r="H49" i="6"/>
  <c r="I49" i="6"/>
  <c r="J49" i="6"/>
  <c r="K49" i="6"/>
  <c r="L49" i="6"/>
  <c r="H50" i="6"/>
  <c r="I50" i="6"/>
  <c r="J50" i="6"/>
  <c r="K50" i="6"/>
  <c r="L50" i="6"/>
  <c r="H51" i="6"/>
  <c r="I51" i="6"/>
  <c r="J51" i="6"/>
  <c r="K51" i="6"/>
  <c r="L51" i="6"/>
  <c r="H52" i="6"/>
  <c r="I52" i="6"/>
  <c r="J52" i="6"/>
  <c r="K52" i="6"/>
  <c r="L52" i="6"/>
  <c r="H53" i="6"/>
  <c r="I53" i="6"/>
  <c r="J53" i="6"/>
  <c r="K53" i="6"/>
  <c r="L53" i="6"/>
  <c r="H54" i="6"/>
  <c r="I54" i="6"/>
  <c r="J54" i="6"/>
  <c r="K54" i="6"/>
  <c r="L54" i="6"/>
  <c r="H55" i="6"/>
  <c r="I55" i="6"/>
  <c r="J55" i="6"/>
  <c r="K55" i="6"/>
  <c r="L55" i="6"/>
  <c r="H56" i="6"/>
  <c r="I56" i="6"/>
  <c r="J56" i="6"/>
  <c r="K56" i="6"/>
  <c r="L56" i="6"/>
  <c r="H57" i="6"/>
  <c r="I57" i="6"/>
  <c r="J57" i="6"/>
  <c r="K57" i="6"/>
  <c r="L57" i="6"/>
  <c r="H58" i="6"/>
  <c r="K58" i="6"/>
  <c r="L58" i="6"/>
  <c r="H59" i="6"/>
  <c r="K59" i="6"/>
  <c r="L59" i="6"/>
  <c r="I14" i="6"/>
  <c r="J14" i="6"/>
  <c r="K14" i="6"/>
  <c r="L14" i="6"/>
  <c r="H14" i="6"/>
  <c r="M106" i="1" l="1"/>
  <c r="T106" i="1" s="1"/>
  <c r="K156" i="3" l="1"/>
  <c r="AR118" i="1"/>
  <c r="R117" i="1"/>
  <c r="AO106" i="1"/>
  <c r="N108" i="1"/>
  <c r="O119" i="1" s="1"/>
  <c r="F105" i="1"/>
  <c r="E105" i="1"/>
  <c r="F102" i="1"/>
  <c r="E102" i="1"/>
  <c r="M105" i="1" l="1"/>
  <c r="T105" i="1" s="1"/>
  <c r="G156" i="3" l="1"/>
  <c r="AR117" i="1"/>
  <c r="R116" i="1"/>
  <c r="AO105" i="1"/>
  <c r="N107" i="1"/>
  <c r="O118" i="1" s="1"/>
  <c r="F69" i="2"/>
  <c r="F83" i="2" l="1"/>
  <c r="G80" i="2" s="1"/>
  <c r="G67" i="2"/>
  <c r="G64" i="2"/>
  <c r="G65" i="2"/>
  <c r="G66" i="2"/>
  <c r="G68" i="2"/>
  <c r="G58" i="2"/>
  <c r="G59" i="2"/>
  <c r="G60" i="2"/>
  <c r="G61" i="2"/>
  <c r="G62" i="2"/>
  <c r="G63" i="2"/>
  <c r="G57" i="2"/>
  <c r="G74" i="2"/>
  <c r="G78" i="2"/>
  <c r="G71" i="2"/>
  <c r="L104" i="1"/>
  <c r="AM104" i="1" s="1"/>
  <c r="K104" i="1"/>
  <c r="AL104" i="1" s="1"/>
  <c r="G82" i="2" l="1"/>
  <c r="G77" i="2"/>
  <c r="G72" i="2"/>
  <c r="G76" i="2"/>
  <c r="G81" i="2"/>
  <c r="G73" i="2"/>
  <c r="G79" i="2"/>
  <c r="G75" i="2"/>
  <c r="G69" i="2"/>
  <c r="AN104" i="1"/>
  <c r="M103" i="1"/>
  <c r="T103" i="1" s="1"/>
  <c r="M104" i="1"/>
  <c r="T104" i="1" s="1"/>
  <c r="L102" i="1"/>
  <c r="K102" i="1"/>
  <c r="F98" i="2"/>
  <c r="X155" i="3"/>
  <c r="Y155" i="3"/>
  <c r="W155" i="3"/>
  <c r="R155" i="3"/>
  <c r="S155" i="3"/>
  <c r="Q155" i="3"/>
  <c r="L155" i="3"/>
  <c r="M155" i="3"/>
  <c r="K155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Z142" i="3"/>
  <c r="T142" i="3"/>
  <c r="N142" i="3"/>
  <c r="G155" i="3"/>
  <c r="F155" i="3"/>
  <c r="E155" i="3"/>
  <c r="H143" i="3"/>
  <c r="H144" i="3"/>
  <c r="H145" i="3"/>
  <c r="B145" i="3" s="1"/>
  <c r="H146" i="3"/>
  <c r="H147" i="3"/>
  <c r="H148" i="3"/>
  <c r="H149" i="3"/>
  <c r="B149" i="3" s="1"/>
  <c r="H150" i="3"/>
  <c r="H151" i="3"/>
  <c r="H152" i="3"/>
  <c r="H153" i="3"/>
  <c r="B153" i="3" s="1"/>
  <c r="H154" i="3"/>
  <c r="H142" i="3"/>
  <c r="H134" i="3"/>
  <c r="H135" i="3"/>
  <c r="B154" i="3" l="1"/>
  <c r="B150" i="3"/>
  <c r="B146" i="3"/>
  <c r="F156" i="3"/>
  <c r="AR116" i="1"/>
  <c r="E156" i="3"/>
  <c r="AR115" i="1"/>
  <c r="B142" i="3"/>
  <c r="B151" i="3"/>
  <c r="B147" i="3"/>
  <c r="B152" i="3"/>
  <c r="B148" i="3"/>
  <c r="B144" i="3"/>
  <c r="B143" i="3"/>
  <c r="AO103" i="1"/>
  <c r="R114" i="1"/>
  <c r="N106" i="1"/>
  <c r="O117" i="1" s="1"/>
  <c r="AO104" i="1"/>
  <c r="R115" i="1"/>
  <c r="N155" i="3"/>
  <c r="O147" i="3" s="1"/>
  <c r="T155" i="3"/>
  <c r="U143" i="3" s="1"/>
  <c r="Z155" i="3"/>
  <c r="N105" i="1"/>
  <c r="G97" i="2"/>
  <c r="G87" i="2"/>
  <c r="G88" i="2"/>
  <c r="G89" i="2"/>
  <c r="G90" i="2"/>
  <c r="G91" i="2"/>
  <c r="G92" i="2"/>
  <c r="G93" i="2"/>
  <c r="G94" i="2"/>
  <c r="G95" i="2"/>
  <c r="G96" i="2"/>
  <c r="G86" i="2"/>
  <c r="H155" i="3"/>
  <c r="Z117" i="3"/>
  <c r="Z118" i="3"/>
  <c r="Z107" i="3"/>
  <c r="Z108" i="3"/>
  <c r="Z109" i="3"/>
  <c r="Z110" i="3"/>
  <c r="Z111" i="3"/>
  <c r="Z112" i="3"/>
  <c r="Z113" i="3"/>
  <c r="Z114" i="3"/>
  <c r="Z115" i="3"/>
  <c r="Z116" i="3"/>
  <c r="Z106" i="3"/>
  <c r="X119" i="3"/>
  <c r="Y119" i="3"/>
  <c r="W119" i="3"/>
  <c r="S119" i="3"/>
  <c r="R119" i="3"/>
  <c r="Q119" i="3"/>
  <c r="M119" i="3"/>
  <c r="L119" i="3"/>
  <c r="K119" i="3"/>
  <c r="O116" i="1" l="1"/>
  <c r="G98" i="2"/>
  <c r="I154" i="3"/>
  <c r="B155" i="3"/>
  <c r="C152" i="3" s="1"/>
  <c r="O154" i="3"/>
  <c r="O153" i="3"/>
  <c r="O151" i="3"/>
  <c r="O148" i="3"/>
  <c r="Z119" i="3"/>
  <c r="I151" i="3"/>
  <c r="U152" i="3"/>
  <c r="U153" i="3"/>
  <c r="O142" i="3"/>
  <c r="I142" i="3"/>
  <c r="U142" i="3"/>
  <c r="U154" i="3"/>
  <c r="I144" i="3"/>
  <c r="O152" i="3"/>
  <c r="U151" i="3"/>
  <c r="I145" i="3"/>
  <c r="U144" i="3"/>
  <c r="U147" i="3"/>
  <c r="O145" i="3"/>
  <c r="I143" i="3"/>
  <c r="I150" i="3"/>
  <c r="O146" i="3"/>
  <c r="I148" i="3"/>
  <c r="I146" i="3"/>
  <c r="O143" i="3"/>
  <c r="I149" i="3"/>
  <c r="O144" i="3"/>
  <c r="U149" i="3"/>
  <c r="U150" i="3"/>
  <c r="U145" i="3"/>
  <c r="O149" i="3"/>
  <c r="I147" i="3"/>
  <c r="U148" i="3"/>
  <c r="U146" i="3"/>
  <c r="O150" i="3"/>
  <c r="I152" i="3"/>
  <c r="I153" i="3"/>
  <c r="Y101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06" i="3"/>
  <c r="F119" i="3"/>
  <c r="G119" i="3"/>
  <c r="E119" i="3"/>
  <c r="N117" i="3"/>
  <c r="N118" i="3"/>
  <c r="N107" i="3"/>
  <c r="N108" i="3"/>
  <c r="N109" i="3"/>
  <c r="N110" i="3"/>
  <c r="N111" i="3"/>
  <c r="N112" i="3"/>
  <c r="N113" i="3"/>
  <c r="N114" i="3"/>
  <c r="N115" i="3"/>
  <c r="N116" i="3"/>
  <c r="N106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Y137" i="3"/>
  <c r="X137" i="3"/>
  <c r="W137" i="3"/>
  <c r="Z127" i="3"/>
  <c r="Z128" i="3"/>
  <c r="Z129" i="3"/>
  <c r="Z130" i="3"/>
  <c r="Z131" i="3"/>
  <c r="Z132" i="3"/>
  <c r="Z133" i="3"/>
  <c r="Z134" i="3"/>
  <c r="Z135" i="3"/>
  <c r="Z126" i="3"/>
  <c r="Z125" i="3"/>
  <c r="Z124" i="3"/>
  <c r="T124" i="3"/>
  <c r="S137" i="3"/>
  <c r="R137" i="3"/>
  <c r="Q137" i="3"/>
  <c r="C143" i="3" l="1"/>
  <c r="C151" i="3"/>
  <c r="C148" i="3"/>
  <c r="C155" i="3"/>
  <c r="C154" i="3"/>
  <c r="C149" i="3"/>
  <c r="C150" i="3"/>
  <c r="C145" i="3"/>
  <c r="C146" i="3"/>
  <c r="C153" i="3"/>
  <c r="C142" i="3"/>
  <c r="B106" i="3"/>
  <c r="C147" i="3"/>
  <c r="C144" i="3"/>
  <c r="B108" i="3"/>
  <c r="B112" i="3"/>
  <c r="B116" i="3"/>
  <c r="B109" i="3"/>
  <c r="B113" i="3"/>
  <c r="B117" i="3"/>
  <c r="B110" i="3"/>
  <c r="B114" i="3"/>
  <c r="B118" i="3"/>
  <c r="Z137" i="3"/>
  <c r="AA124" i="3" s="1"/>
  <c r="B107" i="3"/>
  <c r="B111" i="3"/>
  <c r="B115" i="3"/>
  <c r="T119" i="3"/>
  <c r="N119" i="3"/>
  <c r="H119" i="3"/>
  <c r="M137" i="3"/>
  <c r="L137" i="3"/>
  <c r="K137" i="3"/>
  <c r="T135" i="3"/>
  <c r="T134" i="3"/>
  <c r="T133" i="3"/>
  <c r="T132" i="3"/>
  <c r="T131" i="3"/>
  <c r="T130" i="3"/>
  <c r="T129" i="3"/>
  <c r="T128" i="3"/>
  <c r="T127" i="3"/>
  <c r="T126" i="3"/>
  <c r="T125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H129" i="3"/>
  <c r="H130" i="3"/>
  <c r="H131" i="3"/>
  <c r="H132" i="3"/>
  <c r="H133" i="3"/>
  <c r="H128" i="3"/>
  <c r="H127" i="3"/>
  <c r="H126" i="3"/>
  <c r="H125" i="3"/>
  <c r="H124" i="3"/>
  <c r="AA128" i="3" l="1"/>
  <c r="AA132" i="3"/>
  <c r="AA125" i="3"/>
  <c r="B125" i="3"/>
  <c r="B133" i="3"/>
  <c r="B129" i="3"/>
  <c r="B135" i="3"/>
  <c r="B126" i="3"/>
  <c r="B132" i="3"/>
  <c r="AA131" i="3"/>
  <c r="B127" i="3"/>
  <c r="AA134" i="3"/>
  <c r="AA130" i="3"/>
  <c r="B119" i="3"/>
  <c r="C115" i="3" s="1"/>
  <c r="AA135" i="3"/>
  <c r="AA127" i="3"/>
  <c r="B131" i="3"/>
  <c r="B124" i="3"/>
  <c r="B128" i="3"/>
  <c r="B130" i="3"/>
  <c r="B134" i="3"/>
  <c r="AA126" i="3"/>
  <c r="AA133" i="3"/>
  <c r="AA129" i="3"/>
  <c r="I119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O116" i="3"/>
  <c r="O115" i="3"/>
  <c r="O114" i="3"/>
  <c r="O113" i="3"/>
  <c r="O112" i="3"/>
  <c r="O111" i="3"/>
  <c r="O110" i="3"/>
  <c r="O109" i="3"/>
  <c r="O108" i="3"/>
  <c r="O107" i="3"/>
  <c r="O118" i="3"/>
  <c r="O117" i="3"/>
  <c r="O106" i="3"/>
  <c r="AA118" i="3"/>
  <c r="AA107" i="3"/>
  <c r="AA108" i="3"/>
  <c r="AA109" i="3"/>
  <c r="AA110" i="3"/>
  <c r="AA111" i="3"/>
  <c r="AA112" i="3"/>
  <c r="AA113" i="3"/>
  <c r="AA114" i="3"/>
  <c r="AA115" i="3"/>
  <c r="AA116" i="3"/>
  <c r="AA117" i="3"/>
  <c r="AA106" i="3"/>
  <c r="U116" i="3"/>
  <c r="U117" i="3"/>
  <c r="U118" i="3"/>
  <c r="U107" i="3"/>
  <c r="U108" i="3"/>
  <c r="U109" i="3"/>
  <c r="U110" i="3"/>
  <c r="U111" i="3"/>
  <c r="U112" i="3"/>
  <c r="U113" i="3"/>
  <c r="U114" i="3"/>
  <c r="U115" i="3"/>
  <c r="U106" i="3"/>
  <c r="H137" i="3"/>
  <c r="I124" i="3" s="1"/>
  <c r="T137" i="3"/>
  <c r="U125" i="3" s="1"/>
  <c r="N137" i="3"/>
  <c r="G137" i="3"/>
  <c r="F137" i="3"/>
  <c r="E137" i="3"/>
  <c r="C116" i="3" l="1"/>
  <c r="I128" i="3"/>
  <c r="C108" i="3"/>
  <c r="C107" i="3"/>
  <c r="C110" i="3"/>
  <c r="I125" i="3"/>
  <c r="C109" i="3"/>
  <c r="C113" i="3"/>
  <c r="C117" i="3"/>
  <c r="AA137" i="3"/>
  <c r="C114" i="3"/>
  <c r="AA119" i="3"/>
  <c r="C119" i="3"/>
  <c r="C106" i="3"/>
  <c r="C111" i="3"/>
  <c r="C118" i="3"/>
  <c r="C112" i="3"/>
  <c r="B137" i="3"/>
  <c r="C124" i="3" s="1"/>
  <c r="AA165" i="3"/>
  <c r="AA167" i="3"/>
  <c r="AA162" i="3"/>
  <c r="AA170" i="3"/>
  <c r="AA172" i="3"/>
  <c r="AA161" i="3"/>
  <c r="AA171" i="3"/>
  <c r="AA163" i="3"/>
  <c r="AA169" i="3"/>
  <c r="AA168" i="3"/>
  <c r="AA173" i="3"/>
  <c r="AA164" i="3"/>
  <c r="AA166" i="3"/>
  <c r="O119" i="3"/>
  <c r="I127" i="3"/>
  <c r="I126" i="3"/>
  <c r="U119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42" i="3"/>
  <c r="I155" i="3"/>
  <c r="O129" i="3"/>
  <c r="O130" i="3"/>
  <c r="O131" i="3"/>
  <c r="O132" i="3"/>
  <c r="O133" i="3"/>
  <c r="O134" i="3"/>
  <c r="O135" i="3"/>
  <c r="O124" i="3"/>
  <c r="O125" i="3"/>
  <c r="O126" i="3"/>
  <c r="O127" i="3"/>
  <c r="O128" i="3"/>
  <c r="I129" i="3"/>
  <c r="I130" i="3"/>
  <c r="I131" i="3"/>
  <c r="I132" i="3"/>
  <c r="I133" i="3"/>
  <c r="I134" i="3"/>
  <c r="I135" i="3"/>
  <c r="U126" i="3"/>
  <c r="U127" i="3"/>
  <c r="U128" i="3"/>
  <c r="U129" i="3"/>
  <c r="U130" i="3"/>
  <c r="U131" i="3"/>
  <c r="U132" i="3"/>
  <c r="U133" i="3"/>
  <c r="U134" i="3"/>
  <c r="U135" i="3"/>
  <c r="U124" i="3"/>
  <c r="AF101" i="1"/>
  <c r="AG101" i="1"/>
  <c r="AH101" i="1"/>
  <c r="AL101" i="1"/>
  <c r="AM101" i="1"/>
  <c r="AF102" i="1"/>
  <c r="AG102" i="1"/>
  <c r="AH102" i="1"/>
  <c r="AL102" i="1"/>
  <c r="AM102" i="1"/>
  <c r="AI113" i="1"/>
  <c r="Z102" i="1"/>
  <c r="AJ113" i="1" s="1"/>
  <c r="Z101" i="1"/>
  <c r="AN102" i="1" l="1"/>
  <c r="AN101" i="1"/>
  <c r="AJ112" i="1"/>
  <c r="C131" i="3"/>
  <c r="C129" i="3"/>
  <c r="C134" i="3"/>
  <c r="D118" i="3"/>
  <c r="C135" i="3"/>
  <c r="C126" i="3"/>
  <c r="C137" i="3"/>
  <c r="C136" i="3"/>
  <c r="C125" i="3"/>
  <c r="C133" i="3"/>
  <c r="C130" i="3"/>
  <c r="C127" i="3"/>
  <c r="C128" i="3"/>
  <c r="C132" i="3"/>
  <c r="AA174" i="3"/>
  <c r="U137" i="3"/>
  <c r="AI112" i="1"/>
  <c r="AA155" i="3"/>
  <c r="O155" i="3"/>
  <c r="I137" i="3"/>
  <c r="O137" i="3"/>
  <c r="D138" i="3" l="1"/>
  <c r="D156" i="3"/>
  <c r="AL100" i="1"/>
  <c r="AM100" i="1"/>
  <c r="AG99" i="1"/>
  <c r="AH99" i="1"/>
  <c r="AG100" i="1"/>
  <c r="AH100" i="1"/>
  <c r="AF99" i="1"/>
  <c r="AF100" i="1"/>
  <c r="Z100" i="1"/>
  <c r="AJ111" i="1" s="1"/>
  <c r="Z98" i="1"/>
  <c r="Z99" i="1"/>
  <c r="AI111" i="1"/>
  <c r="AL99" i="1"/>
  <c r="AM99" i="1"/>
  <c r="AN99" i="1" l="1"/>
  <c r="AN100" i="1"/>
  <c r="AO100" i="1" s="1"/>
  <c r="AI109" i="1"/>
  <c r="AJ110" i="1"/>
  <c r="AJ109" i="1"/>
  <c r="AI110" i="1"/>
  <c r="AO99" i="1"/>
  <c r="J31" i="4"/>
  <c r="J30" i="4"/>
  <c r="J29" i="4"/>
  <c r="J28" i="4"/>
  <c r="J27" i="4"/>
  <c r="J26" i="4"/>
  <c r="J25" i="4"/>
  <c r="J24" i="4"/>
  <c r="J23" i="4"/>
  <c r="J22" i="4"/>
  <c r="J21" i="4"/>
  <c r="J20" i="4"/>
  <c r="I16" i="4"/>
  <c r="I15" i="4"/>
  <c r="I14" i="4"/>
  <c r="I13" i="4"/>
  <c r="I12" i="4"/>
  <c r="I11" i="4"/>
  <c r="I10" i="4"/>
  <c r="I9" i="4"/>
  <c r="I8" i="4"/>
  <c r="I7" i="4"/>
  <c r="I6" i="4"/>
  <c r="I5" i="4"/>
  <c r="E16" i="4"/>
  <c r="J16" i="4" s="1"/>
  <c r="E15" i="4"/>
  <c r="J15" i="4" s="1"/>
  <c r="E14" i="4"/>
  <c r="J14" i="4" s="1"/>
  <c r="E13" i="4"/>
  <c r="J13" i="4" s="1"/>
  <c r="E12" i="4"/>
  <c r="J12" i="4" s="1"/>
  <c r="E11" i="4"/>
  <c r="J11" i="4" s="1"/>
  <c r="E10" i="4"/>
  <c r="J10" i="4" s="1"/>
  <c r="E9" i="4"/>
  <c r="J9" i="4" s="1"/>
  <c r="E8" i="4"/>
  <c r="J8" i="4" s="1"/>
  <c r="E7" i="4"/>
  <c r="J7" i="4" s="1"/>
  <c r="E6" i="4"/>
  <c r="J6" i="4" s="1"/>
  <c r="E5" i="4"/>
  <c r="J5" i="4" s="1"/>
  <c r="AL95" i="1" l="1"/>
  <c r="AM95" i="1"/>
  <c r="AL96" i="1"/>
  <c r="AM96" i="1"/>
  <c r="AL97" i="1"/>
  <c r="AM97" i="1"/>
  <c r="AL98" i="1"/>
  <c r="AM98" i="1"/>
  <c r="AF94" i="1"/>
  <c r="AG94" i="1"/>
  <c r="AH94" i="1"/>
  <c r="AF95" i="1"/>
  <c r="AG95" i="1"/>
  <c r="AH95" i="1"/>
  <c r="AF96" i="1"/>
  <c r="AG96" i="1"/>
  <c r="AH96" i="1"/>
  <c r="AF97" i="1"/>
  <c r="AG97" i="1"/>
  <c r="AH97" i="1"/>
  <c r="AF98" i="1"/>
  <c r="AG98" i="1"/>
  <c r="AH98" i="1"/>
  <c r="Z96" i="1"/>
  <c r="Z97" i="1"/>
  <c r="AJ108" i="1" s="1"/>
  <c r="AI108" i="1"/>
  <c r="AL94" i="1"/>
  <c r="AM94" i="1"/>
  <c r="AN94" i="1" l="1"/>
  <c r="AO94" i="1" s="1"/>
  <c r="AN98" i="1"/>
  <c r="AN97" i="1"/>
  <c r="AO97" i="1" s="1"/>
  <c r="AN96" i="1"/>
  <c r="AO96" i="1" s="1"/>
  <c r="AN95" i="1"/>
  <c r="AI107" i="1"/>
  <c r="AJ107" i="1"/>
  <c r="AI106" i="1"/>
  <c r="AI105" i="1"/>
  <c r="AO98" i="1"/>
  <c r="AO95" i="1"/>
  <c r="E93" i="1"/>
  <c r="AF91" i="1" l="1"/>
  <c r="AG91" i="1"/>
  <c r="AH91" i="1"/>
  <c r="AF92" i="1"/>
  <c r="AG92" i="1"/>
  <c r="AH92" i="1"/>
  <c r="AF93" i="1"/>
  <c r="AG93" i="1"/>
  <c r="AH93" i="1"/>
  <c r="AI104" i="1"/>
  <c r="AM93" i="1"/>
  <c r="AL93" i="1"/>
  <c r="AM92" i="1"/>
  <c r="AL92" i="1"/>
  <c r="AN92" i="1" s="1"/>
  <c r="AI102" i="1"/>
  <c r="AM91" i="1"/>
  <c r="AL91" i="1"/>
  <c r="Z90" i="1"/>
  <c r="Z91" i="1"/>
  <c r="Z92" i="1"/>
  <c r="Z93" i="1"/>
  <c r="Z89" i="1"/>
  <c r="Z94" i="1"/>
  <c r="Z95" i="1"/>
  <c r="AJ106" i="1" s="1"/>
  <c r="AN91" i="1" l="1"/>
  <c r="AN93" i="1"/>
  <c r="AO93" i="1" s="1"/>
  <c r="AJ105" i="1"/>
  <c r="AJ104" i="1"/>
  <c r="AJ103" i="1"/>
  <c r="AI103" i="1"/>
  <c r="AJ100" i="1"/>
  <c r="AJ102" i="1"/>
  <c r="AJ101" i="1"/>
  <c r="AO92" i="1"/>
  <c r="AO91" i="1"/>
  <c r="AL89" i="1"/>
  <c r="AM89" i="1"/>
  <c r="AL90" i="1"/>
  <c r="AM90" i="1"/>
  <c r="AF88" i="1"/>
  <c r="AG88" i="1"/>
  <c r="AH88" i="1"/>
  <c r="AF89" i="1"/>
  <c r="AG89" i="1"/>
  <c r="AH89" i="1"/>
  <c r="AF90" i="1"/>
  <c r="AG90" i="1"/>
  <c r="AH90" i="1"/>
  <c r="Z88" i="1"/>
  <c r="AJ99" i="1" s="1"/>
  <c r="AI101" i="1"/>
  <c r="AM88" i="1"/>
  <c r="AL88" i="1"/>
  <c r="AN88" i="1" s="1"/>
  <c r="AN90" i="1" l="1"/>
  <c r="AN89" i="1"/>
  <c r="AI100" i="1"/>
  <c r="AI99" i="1"/>
  <c r="AO88" i="1"/>
  <c r="AO89" i="1"/>
  <c r="AO90" i="1"/>
  <c r="E90" i="1" l="1"/>
  <c r="D84" i="1" l="1"/>
  <c r="D86" i="1"/>
  <c r="F93" i="1" l="1"/>
  <c r="F90" i="1"/>
  <c r="F78" i="1" l="1"/>
  <c r="E78" i="1"/>
  <c r="F81" i="1"/>
  <c r="E81" i="1"/>
  <c r="Y77" i="1" l="1"/>
  <c r="Y78" i="1"/>
  <c r="Y79" i="1"/>
  <c r="Y80" i="1"/>
  <c r="AI98" i="1"/>
  <c r="Z87" i="1"/>
  <c r="AJ98" i="1" s="1"/>
  <c r="Z86" i="1"/>
  <c r="Z85" i="1"/>
  <c r="Z84" i="1"/>
  <c r="Z83" i="1"/>
  <c r="Z82" i="1"/>
  <c r="Z78" i="1"/>
  <c r="Z77" i="1"/>
  <c r="Z81" i="1"/>
  <c r="Z80" i="1"/>
  <c r="Z79" i="1"/>
  <c r="AF76" i="1"/>
  <c r="AG76" i="1"/>
  <c r="AH76" i="1"/>
  <c r="AF77" i="1"/>
  <c r="AG77" i="1"/>
  <c r="AH77" i="1"/>
  <c r="AF78" i="1"/>
  <c r="AG78" i="1"/>
  <c r="AH78" i="1"/>
  <c r="AF79" i="1"/>
  <c r="AG79" i="1"/>
  <c r="AH79" i="1"/>
  <c r="AF80" i="1"/>
  <c r="AG80" i="1"/>
  <c r="AH80" i="1"/>
  <c r="AF81" i="1"/>
  <c r="AG81" i="1"/>
  <c r="AH81" i="1"/>
  <c r="AF82" i="1"/>
  <c r="AG82" i="1"/>
  <c r="AH82" i="1"/>
  <c r="AF83" i="1"/>
  <c r="AG83" i="1"/>
  <c r="AH83" i="1"/>
  <c r="AF84" i="1"/>
  <c r="AG84" i="1"/>
  <c r="AH84" i="1"/>
  <c r="AF85" i="1"/>
  <c r="AG85" i="1"/>
  <c r="AH85" i="1"/>
  <c r="AF86" i="1"/>
  <c r="AG86" i="1"/>
  <c r="AH86" i="1"/>
  <c r="AF87" i="1"/>
  <c r="AG87" i="1"/>
  <c r="AH87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M76" i="1"/>
  <c r="AL76" i="1"/>
  <c r="AN76" i="1" s="1"/>
  <c r="AN87" i="1" l="1"/>
  <c r="AN86" i="1"/>
  <c r="AN85" i="1"/>
  <c r="AN84" i="1"/>
  <c r="AO84" i="1" s="1"/>
  <c r="AN83" i="1"/>
  <c r="AN82" i="1"/>
  <c r="AN81" i="1"/>
  <c r="AN80" i="1"/>
  <c r="AO80" i="1" s="1"/>
  <c r="AN79" i="1"/>
  <c r="AN78" i="1"/>
  <c r="AN77" i="1"/>
  <c r="AO87" i="1"/>
  <c r="AI97" i="1"/>
  <c r="AI96" i="1"/>
  <c r="AI95" i="1"/>
  <c r="AI94" i="1"/>
  <c r="AJ95" i="1"/>
  <c r="AJ96" i="1"/>
  <c r="AJ97" i="1"/>
  <c r="AJ94" i="1"/>
  <c r="AI91" i="1"/>
  <c r="AI92" i="1"/>
  <c r="AI93" i="1"/>
  <c r="AI88" i="1"/>
  <c r="AI89" i="1"/>
  <c r="AI90" i="1"/>
  <c r="AJ91" i="1"/>
  <c r="AJ93" i="1"/>
  <c r="AJ92" i="1"/>
  <c r="AJ88" i="1"/>
  <c r="AJ89" i="1"/>
  <c r="AJ90" i="1"/>
  <c r="AO86" i="1"/>
  <c r="AO85" i="1"/>
  <c r="AO82" i="1"/>
  <c r="AO83" i="1"/>
  <c r="AO81" i="1"/>
  <c r="AO79" i="1"/>
  <c r="AO78" i="1"/>
  <c r="AO77" i="1"/>
  <c r="AL74" i="1"/>
  <c r="AM74" i="1"/>
  <c r="AL75" i="1"/>
  <c r="AM75" i="1"/>
  <c r="AF74" i="1"/>
  <c r="AG74" i="1"/>
  <c r="AH74" i="1"/>
  <c r="AF75" i="1"/>
  <c r="AG75" i="1"/>
  <c r="AH75" i="1"/>
  <c r="Y74" i="1"/>
  <c r="Z74" i="1"/>
  <c r="Y75" i="1"/>
  <c r="Z75" i="1"/>
  <c r="Y76" i="1"/>
  <c r="AI87" i="1" s="1"/>
  <c r="Z76" i="1"/>
  <c r="AJ87" i="1" s="1"/>
  <c r="C58" i="1"/>
  <c r="C54" i="1"/>
  <c r="AN75" i="1" l="1"/>
  <c r="AN74" i="1"/>
  <c r="AJ86" i="1"/>
  <c r="AI86" i="1"/>
  <c r="AO76" i="1"/>
  <c r="AI85" i="1"/>
  <c r="AJ85" i="1"/>
  <c r="AO74" i="1"/>
  <c r="AO75" i="1"/>
  <c r="G83" i="2" l="1"/>
  <c r="AL73" i="1"/>
  <c r="AM73" i="1"/>
  <c r="AF73" i="1"/>
  <c r="AG73" i="1"/>
  <c r="AH73" i="1"/>
  <c r="Z73" i="1"/>
  <c r="AJ84" i="1" s="1"/>
  <c r="Y73" i="1"/>
  <c r="AI84" i="1" s="1"/>
  <c r="AN73" i="1" l="1"/>
  <c r="AO73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F72" i="1" l="1"/>
  <c r="Z72" i="1"/>
  <c r="AJ83" i="1" s="1"/>
  <c r="AM72" i="1"/>
  <c r="AL72" i="1"/>
  <c r="AN72" i="1" l="1"/>
  <c r="AM71" i="1"/>
  <c r="AL71" i="1"/>
  <c r="AN71" i="1" s="1"/>
  <c r="AM70" i="1"/>
  <c r="AL70" i="1"/>
  <c r="Z71" i="1"/>
  <c r="AJ82" i="1" s="1"/>
  <c r="Z70" i="1"/>
  <c r="AJ81" i="1" s="1"/>
  <c r="Z58" i="1"/>
  <c r="Z59" i="1"/>
  <c r="Z60" i="1"/>
  <c r="Z61" i="1"/>
  <c r="Z62" i="1"/>
  <c r="Z63" i="1"/>
  <c r="Z64" i="1"/>
  <c r="Z47" i="1"/>
  <c r="Z48" i="1"/>
  <c r="Z49" i="1"/>
  <c r="Z50" i="1"/>
  <c r="Z51" i="1"/>
  <c r="Z52" i="1"/>
  <c r="Z53" i="1"/>
  <c r="Z54" i="1"/>
  <c r="Z55" i="1"/>
  <c r="Z56" i="1"/>
  <c r="Z57" i="1"/>
  <c r="Z65" i="1"/>
  <c r="Z66" i="1"/>
  <c r="Z67" i="1"/>
  <c r="Z68" i="1"/>
  <c r="Z69" i="1"/>
  <c r="Z46" i="1"/>
  <c r="AF70" i="1"/>
  <c r="AF71" i="1"/>
  <c r="F66" i="1"/>
  <c r="E66" i="1"/>
  <c r="AN70" i="1" l="1"/>
  <c r="AJ78" i="1"/>
  <c r="AJ80" i="1"/>
  <c r="AJ79" i="1"/>
  <c r="AJ77" i="1"/>
  <c r="AJ76" i="1"/>
  <c r="AJ75" i="1"/>
  <c r="AJ73" i="1"/>
  <c r="AJ74" i="1"/>
  <c r="AJ72" i="1"/>
  <c r="F69" i="1"/>
  <c r="E69" i="1"/>
  <c r="AJ58" i="1" l="1"/>
  <c r="AJ59" i="1"/>
  <c r="AJ60" i="1"/>
  <c r="AJ61" i="1"/>
  <c r="AJ62" i="1"/>
  <c r="AJ63" i="1"/>
  <c r="AJ64" i="1"/>
  <c r="AJ65" i="1"/>
  <c r="AJ66" i="1"/>
  <c r="AJ67" i="1"/>
  <c r="AJ68" i="1"/>
  <c r="AJ57" i="1"/>
  <c r="AJ69" i="1" l="1"/>
  <c r="AJ70" i="1"/>
  <c r="AJ71" i="1"/>
  <c r="AL69" i="1"/>
  <c r="AM69" i="1"/>
  <c r="AF69" i="1"/>
  <c r="AN69" i="1" l="1"/>
  <c r="AF66" i="1"/>
  <c r="AF67" i="1"/>
  <c r="AF68" i="1"/>
  <c r="AL68" i="1"/>
  <c r="AM68" i="1"/>
  <c r="AM67" i="1"/>
  <c r="AL67" i="1"/>
  <c r="AN67" i="1" s="1"/>
  <c r="Y64" i="1"/>
  <c r="Y65" i="1"/>
  <c r="Y66" i="1"/>
  <c r="Y67" i="1"/>
  <c r="Y68" i="1"/>
  <c r="Y69" i="1"/>
  <c r="Y70" i="1"/>
  <c r="AO70" i="1" s="1"/>
  <c r="Y71" i="1"/>
  <c r="AO71" i="1" s="1"/>
  <c r="Y72" i="1"/>
  <c r="AM66" i="1"/>
  <c r="AL66" i="1"/>
  <c r="M102" i="1"/>
  <c r="T102" i="1" s="1"/>
  <c r="M66" i="1"/>
  <c r="T66" i="1" s="1"/>
  <c r="M67" i="1"/>
  <c r="T67" i="1" s="1"/>
  <c r="M68" i="1"/>
  <c r="T68" i="1" s="1"/>
  <c r="M69" i="1"/>
  <c r="T69" i="1" s="1"/>
  <c r="M70" i="1"/>
  <c r="T70" i="1" s="1"/>
  <c r="M71" i="1"/>
  <c r="T71" i="1" s="1"/>
  <c r="M72" i="1"/>
  <c r="T72" i="1" s="1"/>
  <c r="M73" i="1"/>
  <c r="T73" i="1" s="1"/>
  <c r="M74" i="1"/>
  <c r="T74" i="1" s="1"/>
  <c r="M75" i="1"/>
  <c r="T75" i="1" s="1"/>
  <c r="M76" i="1"/>
  <c r="T76" i="1" s="1"/>
  <c r="M77" i="1"/>
  <c r="T77" i="1" s="1"/>
  <c r="M78" i="1"/>
  <c r="M79" i="1"/>
  <c r="M80" i="1"/>
  <c r="T80" i="1" s="1"/>
  <c r="M81" i="1"/>
  <c r="M82" i="1"/>
  <c r="M83" i="1"/>
  <c r="M84" i="1"/>
  <c r="M85" i="1"/>
  <c r="M86" i="1"/>
  <c r="M87" i="1"/>
  <c r="M88" i="1"/>
  <c r="M89" i="1"/>
  <c r="M90" i="1"/>
  <c r="M91" i="1"/>
  <c r="M92" i="1"/>
  <c r="T92" i="1" s="1"/>
  <c r="M93" i="1"/>
  <c r="M94" i="1"/>
  <c r="M95" i="1"/>
  <c r="M96" i="1"/>
  <c r="M97" i="1"/>
  <c r="M98" i="1"/>
  <c r="M99" i="1"/>
  <c r="M100" i="1"/>
  <c r="M101" i="1"/>
  <c r="AN66" i="1" l="1"/>
  <c r="AO66" i="1" s="1"/>
  <c r="AN68" i="1"/>
  <c r="X138" i="3"/>
  <c r="T101" i="1"/>
  <c r="W138" i="3"/>
  <c r="T100" i="1"/>
  <c r="S138" i="3"/>
  <c r="T99" i="1"/>
  <c r="R138" i="3"/>
  <c r="T98" i="1"/>
  <c r="Q138" i="3"/>
  <c r="T97" i="1"/>
  <c r="M138" i="3"/>
  <c r="T96" i="1"/>
  <c r="L138" i="3"/>
  <c r="T95" i="1"/>
  <c r="K138" i="3"/>
  <c r="T94" i="1"/>
  <c r="G138" i="3"/>
  <c r="T93" i="1"/>
  <c r="E138" i="3"/>
  <c r="T91" i="1"/>
  <c r="AR90" i="1"/>
  <c r="T90" i="1"/>
  <c r="AR89" i="1"/>
  <c r="T89" i="1"/>
  <c r="AR88" i="1"/>
  <c r="T88" i="1"/>
  <c r="AR87" i="1"/>
  <c r="T87" i="1"/>
  <c r="AR86" i="1"/>
  <c r="T86" i="1"/>
  <c r="AR85" i="1"/>
  <c r="T85" i="1"/>
  <c r="AR84" i="1"/>
  <c r="T84" i="1"/>
  <c r="AR83" i="1"/>
  <c r="T83" i="1"/>
  <c r="AR82" i="1"/>
  <c r="T82" i="1"/>
  <c r="AR81" i="1"/>
  <c r="T81" i="1"/>
  <c r="AR79" i="1"/>
  <c r="T79" i="1"/>
  <c r="AR78" i="1"/>
  <c r="T78" i="1"/>
  <c r="R113" i="1"/>
  <c r="Y138" i="3"/>
  <c r="AR114" i="1"/>
  <c r="AR104" i="1"/>
  <c r="F138" i="3"/>
  <c r="AR101" i="1"/>
  <c r="R112" i="1"/>
  <c r="AR113" i="1"/>
  <c r="R107" i="1"/>
  <c r="AR109" i="1"/>
  <c r="R108" i="1"/>
  <c r="R111" i="1"/>
  <c r="R110" i="1"/>
  <c r="R109" i="1"/>
  <c r="AR100" i="1"/>
  <c r="AR112" i="1"/>
  <c r="AR99" i="1"/>
  <c r="AR111" i="1"/>
  <c r="AR98" i="1"/>
  <c r="AR110" i="1"/>
  <c r="AR96" i="1"/>
  <c r="AR108" i="1"/>
  <c r="AR95" i="1"/>
  <c r="AR107" i="1"/>
  <c r="AR94" i="1"/>
  <c r="AR106" i="1"/>
  <c r="AR93" i="1"/>
  <c r="AR105" i="1"/>
  <c r="AR91" i="1"/>
  <c r="AR103" i="1"/>
  <c r="AO102" i="1"/>
  <c r="AR102" i="1"/>
  <c r="N104" i="1"/>
  <c r="O115" i="1" s="1"/>
  <c r="AO101" i="1"/>
  <c r="N103" i="1"/>
  <c r="R106" i="1"/>
  <c r="R103" i="1"/>
  <c r="R104" i="1"/>
  <c r="R105" i="1"/>
  <c r="N102" i="1"/>
  <c r="N101" i="1"/>
  <c r="AR97" i="1"/>
  <c r="N100" i="1"/>
  <c r="N99" i="1"/>
  <c r="N97" i="1"/>
  <c r="N98" i="1"/>
  <c r="N96" i="1"/>
  <c r="N94" i="1"/>
  <c r="N95" i="1"/>
  <c r="AR80" i="1"/>
  <c r="AR92" i="1"/>
  <c r="R102" i="1"/>
  <c r="BO63" i="1" s="1"/>
  <c r="N93" i="1"/>
  <c r="N92" i="1"/>
  <c r="R101" i="1"/>
  <c r="R99" i="1"/>
  <c r="N91" i="1"/>
  <c r="R98" i="1"/>
  <c r="N90" i="1"/>
  <c r="R100" i="1"/>
  <c r="N89" i="1"/>
  <c r="AO67" i="1"/>
  <c r="AO68" i="1"/>
  <c r="AO72" i="1"/>
  <c r="AI76" i="1"/>
  <c r="AI81" i="1"/>
  <c r="AI80" i="1"/>
  <c r="AI83" i="1"/>
  <c r="AI77" i="1"/>
  <c r="AI79" i="1"/>
  <c r="AI78" i="1"/>
  <c r="AI82" i="1"/>
  <c r="AI75" i="1"/>
  <c r="R97" i="1"/>
  <c r="N88" i="1"/>
  <c r="R96" i="1"/>
  <c r="N87" i="1"/>
  <c r="R95" i="1"/>
  <c r="N85" i="1"/>
  <c r="N86" i="1"/>
  <c r="R93" i="1"/>
  <c r="R94" i="1"/>
  <c r="N84" i="1"/>
  <c r="N83" i="1"/>
  <c r="R92" i="1"/>
  <c r="N82" i="1"/>
  <c r="R91" i="1"/>
  <c r="N81" i="1"/>
  <c r="N78" i="1"/>
  <c r="R88" i="1"/>
  <c r="R87" i="1"/>
  <c r="N80" i="1"/>
  <c r="R89" i="1"/>
  <c r="N79" i="1"/>
  <c r="R86" i="1"/>
  <c r="R90" i="1"/>
  <c r="BO62" i="1" s="1"/>
  <c r="N77" i="1"/>
  <c r="N76" i="1"/>
  <c r="R85" i="1"/>
  <c r="N75" i="1"/>
  <c r="R84" i="1"/>
  <c r="R83" i="1"/>
  <c r="N74" i="1"/>
  <c r="N73" i="1"/>
  <c r="R82" i="1"/>
  <c r="N72" i="1"/>
  <c r="R81" i="1"/>
  <c r="AO69" i="1"/>
  <c r="R80" i="1"/>
  <c r="N71" i="1"/>
  <c r="N70" i="1"/>
  <c r="R78" i="1"/>
  <c r="BO61" i="1" s="1"/>
  <c r="R79" i="1"/>
  <c r="N69" i="1"/>
  <c r="R77" i="1"/>
  <c r="N68" i="1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AD53" i="3"/>
  <c r="AD54" i="3"/>
  <c r="B95" i="3" l="1"/>
  <c r="B99" i="3"/>
  <c r="B91" i="3"/>
  <c r="O106" i="1"/>
  <c r="O108" i="1"/>
  <c r="O112" i="1"/>
  <c r="H101" i="3"/>
  <c r="B88" i="3"/>
  <c r="B92" i="3"/>
  <c r="B96" i="3"/>
  <c r="B100" i="3"/>
  <c r="B89" i="3"/>
  <c r="B93" i="3"/>
  <c r="B97" i="3"/>
  <c r="B90" i="3"/>
  <c r="B94" i="3"/>
  <c r="B98" i="3"/>
  <c r="O79" i="1"/>
  <c r="O110" i="1"/>
  <c r="O113" i="1"/>
  <c r="O107" i="1"/>
  <c r="O111" i="1"/>
  <c r="O114" i="1"/>
  <c r="O109" i="1"/>
  <c r="O105" i="1"/>
  <c r="O103" i="1"/>
  <c r="O104" i="1"/>
  <c r="O101" i="1"/>
  <c r="O82" i="1"/>
  <c r="O80" i="1"/>
  <c r="O81" i="1"/>
  <c r="O102" i="1"/>
  <c r="O86" i="1"/>
  <c r="O83" i="1"/>
  <c r="O87" i="1"/>
  <c r="O85" i="1"/>
  <c r="O84" i="1"/>
  <c r="O88" i="1"/>
  <c r="O90" i="1"/>
  <c r="O94" i="1"/>
  <c r="O98" i="1"/>
  <c r="O97" i="1"/>
  <c r="O91" i="1"/>
  <c r="O95" i="1"/>
  <c r="O99" i="1"/>
  <c r="O89" i="1"/>
  <c r="O92" i="1"/>
  <c r="O96" i="1"/>
  <c r="O100" i="1"/>
  <c r="O93" i="1"/>
  <c r="Z101" i="3"/>
  <c r="AA100" i="3" s="1"/>
  <c r="AC95" i="3"/>
  <c r="AC98" i="3"/>
  <c r="AC99" i="3"/>
  <c r="AC97" i="3"/>
  <c r="AC96" i="3"/>
  <c r="AC94" i="3"/>
  <c r="AC93" i="3"/>
  <c r="AC92" i="3"/>
  <c r="AC91" i="3"/>
  <c r="AC90" i="3"/>
  <c r="AC89" i="3"/>
  <c r="AC88" i="3"/>
  <c r="N101" i="3"/>
  <c r="T101" i="3"/>
  <c r="U100" i="3" s="1"/>
  <c r="AF65" i="1"/>
  <c r="AM65" i="1"/>
  <c r="B101" i="3" l="1"/>
  <c r="C96" i="3" s="1"/>
  <c r="AA92" i="3"/>
  <c r="AA95" i="3"/>
  <c r="AA90" i="3"/>
  <c r="AA88" i="3"/>
  <c r="AA91" i="3"/>
  <c r="AA97" i="3"/>
  <c r="AA98" i="3"/>
  <c r="AA93" i="3"/>
  <c r="AA96" i="3"/>
  <c r="AA99" i="3"/>
  <c r="AA94" i="3"/>
  <c r="AA89" i="3"/>
  <c r="U93" i="3"/>
  <c r="U88" i="3"/>
  <c r="U89" i="3"/>
  <c r="U99" i="3"/>
  <c r="U90" i="3"/>
  <c r="U96" i="3"/>
  <c r="U95" i="3"/>
  <c r="U98" i="3"/>
  <c r="U94" i="3"/>
  <c r="U97" i="3"/>
  <c r="U92" i="3"/>
  <c r="U91" i="3"/>
  <c r="O89" i="3"/>
  <c r="O93" i="3"/>
  <c r="O97" i="3"/>
  <c r="O96" i="3"/>
  <c r="O90" i="3"/>
  <c r="O94" i="3"/>
  <c r="O98" i="3"/>
  <c r="O91" i="3"/>
  <c r="O95" i="3"/>
  <c r="O99" i="3"/>
  <c r="O92" i="3"/>
  <c r="O100" i="3"/>
  <c r="O88" i="3"/>
  <c r="AC100" i="3"/>
  <c r="AD88" i="3" s="1"/>
  <c r="I92" i="3"/>
  <c r="I96" i="3"/>
  <c r="I100" i="3"/>
  <c r="I89" i="3"/>
  <c r="I93" i="3"/>
  <c r="I97" i="3"/>
  <c r="I90" i="3"/>
  <c r="I94" i="3"/>
  <c r="I98" i="3"/>
  <c r="I91" i="3"/>
  <c r="I95" i="3"/>
  <c r="I99" i="3"/>
  <c r="I88" i="3"/>
  <c r="T81" i="3"/>
  <c r="T80" i="3"/>
  <c r="T79" i="3"/>
  <c r="T78" i="3"/>
  <c r="T77" i="3"/>
  <c r="T76" i="3"/>
  <c r="T75" i="3"/>
  <c r="T74" i="3"/>
  <c r="T73" i="3"/>
  <c r="T72" i="3"/>
  <c r="T71" i="3"/>
  <c r="T70" i="3"/>
  <c r="T83" i="3" l="1"/>
  <c r="C94" i="3"/>
  <c r="C101" i="3"/>
  <c r="C91" i="3"/>
  <c r="C99" i="3"/>
  <c r="C95" i="3"/>
  <c r="C100" i="3"/>
  <c r="C92" i="3"/>
  <c r="C88" i="3"/>
  <c r="C93" i="3"/>
  <c r="C90" i="3"/>
  <c r="C89" i="3"/>
  <c r="C98" i="3"/>
  <c r="C97" i="3"/>
  <c r="U101" i="3"/>
  <c r="AA101" i="3"/>
  <c r="O101" i="3"/>
  <c r="I101" i="3"/>
  <c r="AD99" i="3"/>
  <c r="AD95" i="3"/>
  <c r="AD91" i="3"/>
  <c r="AD98" i="3"/>
  <c r="AD94" i="3"/>
  <c r="AD90" i="3"/>
  <c r="AD97" i="3"/>
  <c r="AD89" i="3"/>
  <c r="AD92" i="3"/>
  <c r="AD93" i="3"/>
  <c r="AD96" i="3"/>
  <c r="AF58" i="1"/>
  <c r="AF59" i="1"/>
  <c r="AF60" i="1"/>
  <c r="AF61" i="1"/>
  <c r="AF62" i="1"/>
  <c r="AF63" i="1"/>
  <c r="AF64" i="1"/>
  <c r="AF57" i="1"/>
  <c r="D100" i="3" l="1"/>
  <c r="AD100" i="3"/>
  <c r="M65" i="1"/>
  <c r="AR77" i="1" s="1"/>
  <c r="N67" i="1" l="1"/>
  <c r="O78" i="1" s="1"/>
  <c r="R76" i="1"/>
  <c r="AD55" i="3"/>
  <c r="AD56" i="3"/>
  <c r="AD57" i="3"/>
  <c r="AD58" i="3"/>
  <c r="AD59" i="3"/>
  <c r="AD60" i="3"/>
  <c r="AD61" i="3"/>
  <c r="AD62" i="3"/>
  <c r="AD63" i="3"/>
  <c r="AD64" i="3"/>
  <c r="F54" i="2"/>
  <c r="G41" i="2" l="1"/>
  <c r="G42" i="2"/>
  <c r="G43" i="2"/>
  <c r="G44" i="2"/>
  <c r="G45" i="2"/>
  <c r="G46" i="2"/>
  <c r="G47" i="2"/>
  <c r="G48" i="2"/>
  <c r="G49" i="2"/>
  <c r="G50" i="2"/>
  <c r="G51" i="2"/>
  <c r="G52" i="2"/>
  <c r="G53" i="2"/>
  <c r="AD65" i="3"/>
  <c r="Y63" i="1"/>
  <c r="AM62" i="1"/>
  <c r="AM63" i="1"/>
  <c r="AM64" i="1"/>
  <c r="AL62" i="1"/>
  <c r="AL63" i="1"/>
  <c r="AN63" i="1" s="1"/>
  <c r="AL64" i="1"/>
  <c r="AL65" i="1"/>
  <c r="M64" i="1"/>
  <c r="AR76" i="1" s="1"/>
  <c r="M63" i="1"/>
  <c r="AR75" i="1" s="1"/>
  <c r="Y62" i="1"/>
  <c r="M62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5" i="1"/>
  <c r="N83" i="3"/>
  <c r="O70" i="3" s="1"/>
  <c r="H83" i="3"/>
  <c r="AM58" i="1"/>
  <c r="AM59" i="1"/>
  <c r="AM60" i="1"/>
  <c r="AM61" i="1"/>
  <c r="AL58" i="1"/>
  <c r="AN58" i="1" s="1"/>
  <c r="AL59" i="1"/>
  <c r="AN59" i="1" s="1"/>
  <c r="AL60" i="1"/>
  <c r="AN60" i="1" s="1"/>
  <c r="AL61" i="1"/>
  <c r="AN61" i="1" s="1"/>
  <c r="Y58" i="1"/>
  <c r="Y56" i="1"/>
  <c r="Y61" i="1"/>
  <c r="Y60" i="1"/>
  <c r="Y59" i="1"/>
  <c r="Y57" i="1"/>
  <c r="AM57" i="1"/>
  <c r="AL57" i="1"/>
  <c r="M61" i="1"/>
  <c r="M60" i="1"/>
  <c r="Z70" i="3"/>
  <c r="Z71" i="3"/>
  <c r="Z72" i="3"/>
  <c r="Z73" i="3"/>
  <c r="Z74" i="3"/>
  <c r="Z75" i="3"/>
  <c r="Z76" i="3"/>
  <c r="Z77" i="3"/>
  <c r="Z78" i="3"/>
  <c r="Z79" i="3"/>
  <c r="Z80" i="3"/>
  <c r="Z81" i="3"/>
  <c r="M58" i="1"/>
  <c r="AR70" i="1" s="1"/>
  <c r="M59" i="1"/>
  <c r="D52" i="1"/>
  <c r="D51" i="1"/>
  <c r="D53" i="1"/>
  <c r="AT63" i="3"/>
  <c r="AS63" i="3"/>
  <c r="AR63" i="3"/>
  <c r="AQ63" i="3"/>
  <c r="AP63" i="3"/>
  <c r="AP49" i="3"/>
  <c r="AQ49" i="3"/>
  <c r="AR49" i="3"/>
  <c r="AS49" i="3"/>
  <c r="AT49" i="3"/>
  <c r="B49" i="3"/>
  <c r="C47" i="3" s="1"/>
  <c r="B65" i="3"/>
  <c r="E57" i="1"/>
  <c r="AL46" i="1"/>
  <c r="AM46" i="1"/>
  <c r="M57" i="1"/>
  <c r="AL56" i="1"/>
  <c r="AM56" i="1"/>
  <c r="AC46" i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B46" i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Y48" i="1"/>
  <c r="Y49" i="1"/>
  <c r="Y50" i="1"/>
  <c r="Y51" i="1"/>
  <c r="Y52" i="1"/>
  <c r="Y53" i="1"/>
  <c r="Y54" i="1"/>
  <c r="Y55" i="1"/>
  <c r="Y46" i="1"/>
  <c r="Y47" i="1"/>
  <c r="AA46" i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M56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M47" i="1"/>
  <c r="AL47" i="1"/>
  <c r="M55" i="1"/>
  <c r="S65" i="3"/>
  <c r="Y65" i="3"/>
  <c r="X65" i="3"/>
  <c r="W65" i="3"/>
  <c r="Z64" i="3"/>
  <c r="Z63" i="3"/>
  <c r="Z62" i="3"/>
  <c r="Z61" i="3"/>
  <c r="Z60" i="3"/>
  <c r="Z59" i="3"/>
  <c r="Z58" i="3"/>
  <c r="Z57" i="3"/>
  <c r="Z56" i="3"/>
  <c r="Z55" i="3"/>
  <c r="Z54" i="3"/>
  <c r="Z53" i="3"/>
  <c r="M54" i="1"/>
  <c r="AR66" i="1" s="1"/>
  <c r="M29" i="1"/>
  <c r="M30" i="1"/>
  <c r="M53" i="1"/>
  <c r="M52" i="1"/>
  <c r="E54" i="1"/>
  <c r="F45" i="1"/>
  <c r="E33" i="1"/>
  <c r="E45" i="1"/>
  <c r="T53" i="3"/>
  <c r="R65" i="3"/>
  <c r="Q65" i="3"/>
  <c r="T64" i="3"/>
  <c r="T63" i="3"/>
  <c r="T62" i="3"/>
  <c r="T61" i="3"/>
  <c r="T60" i="3"/>
  <c r="T59" i="3"/>
  <c r="T58" i="3"/>
  <c r="T57" i="3"/>
  <c r="T56" i="3"/>
  <c r="T55" i="3"/>
  <c r="T54" i="3"/>
  <c r="N53" i="3"/>
  <c r="M65" i="3"/>
  <c r="L65" i="3"/>
  <c r="K65" i="3"/>
  <c r="N64" i="3"/>
  <c r="N63" i="3"/>
  <c r="N62" i="3"/>
  <c r="N61" i="3"/>
  <c r="N60" i="3"/>
  <c r="N59" i="3"/>
  <c r="N58" i="3"/>
  <c r="N57" i="3"/>
  <c r="N56" i="3"/>
  <c r="N55" i="3"/>
  <c r="N54" i="3"/>
  <c r="H54" i="3"/>
  <c r="H55" i="3"/>
  <c r="H56" i="3"/>
  <c r="H57" i="3"/>
  <c r="H58" i="3"/>
  <c r="H59" i="3"/>
  <c r="H60" i="3"/>
  <c r="H61" i="3"/>
  <c r="H62" i="3"/>
  <c r="H63" i="3"/>
  <c r="H64" i="3"/>
  <c r="H53" i="3"/>
  <c r="F65" i="3"/>
  <c r="G65" i="3"/>
  <c r="E65" i="3"/>
  <c r="M50" i="1"/>
  <c r="M49" i="1"/>
  <c r="M51" i="1"/>
  <c r="M48" i="1"/>
  <c r="M45" i="1"/>
  <c r="F9" i="1"/>
  <c r="E9" i="1"/>
  <c r="F21" i="1"/>
  <c r="E21" i="1"/>
  <c r="F33" i="1"/>
  <c r="F6" i="1"/>
  <c r="E6" i="1"/>
  <c r="F42" i="1"/>
  <c r="E42" i="1"/>
  <c r="F30" i="1"/>
  <c r="E30" i="1"/>
  <c r="F18" i="1"/>
  <c r="E18" i="1"/>
  <c r="M47" i="1"/>
  <c r="M46" i="1"/>
  <c r="M44" i="1"/>
  <c r="M43" i="1"/>
  <c r="M42" i="1"/>
  <c r="AR42" i="1" s="1"/>
  <c r="M41" i="1"/>
  <c r="M35" i="1"/>
  <c r="M38" i="1"/>
  <c r="M39" i="1"/>
  <c r="M37" i="1"/>
  <c r="M36" i="1"/>
  <c r="M34" i="1"/>
  <c r="M33" i="1"/>
  <c r="N35" i="1" s="1"/>
  <c r="M31" i="1"/>
  <c r="M32" i="1"/>
  <c r="M28" i="1"/>
  <c r="M22" i="1"/>
  <c r="M24" i="1"/>
  <c r="M27" i="1"/>
  <c r="M23" i="1"/>
  <c r="M25" i="1"/>
  <c r="M26" i="1"/>
  <c r="N28" i="1" s="1"/>
  <c r="M21" i="1"/>
  <c r="M20" i="1"/>
  <c r="M40" i="1"/>
  <c r="AR40" i="1" s="1"/>
  <c r="L22" i="3"/>
  <c r="L23" i="3"/>
  <c r="L24" i="3"/>
  <c r="L25" i="3"/>
  <c r="L26" i="3"/>
  <c r="L27" i="3"/>
  <c r="L28" i="3"/>
  <c r="L29" i="3"/>
  <c r="L30" i="3"/>
  <c r="L31" i="3"/>
  <c r="L32" i="3"/>
  <c r="L21" i="3"/>
  <c r="K33" i="3"/>
  <c r="J33" i="3"/>
  <c r="I33" i="3"/>
  <c r="B33" i="3"/>
  <c r="C33" i="3"/>
  <c r="D33" i="3"/>
  <c r="E24" i="3"/>
  <c r="E22" i="3"/>
  <c r="G22" i="3" s="1"/>
  <c r="E23" i="3"/>
  <c r="G23" i="3" s="1"/>
  <c r="E25" i="3"/>
  <c r="G25" i="3" s="1"/>
  <c r="E26" i="3"/>
  <c r="G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21" i="3"/>
  <c r="G21" i="3" s="1"/>
  <c r="B17" i="3"/>
  <c r="C9" i="3" s="1"/>
  <c r="M19" i="1"/>
  <c r="N21" i="1" s="1"/>
  <c r="M18" i="1"/>
  <c r="H22" i="2"/>
  <c r="H23" i="2"/>
  <c r="H24" i="2"/>
  <c r="H25" i="2"/>
  <c r="H26" i="2"/>
  <c r="H27" i="2"/>
  <c r="H28" i="2"/>
  <c r="H29" i="2"/>
  <c r="H30" i="2"/>
  <c r="H31" i="2"/>
  <c r="H32" i="2"/>
  <c r="H21" i="2"/>
  <c r="G33" i="2"/>
  <c r="H19" i="2"/>
  <c r="C7" i="2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I3" i="1"/>
  <c r="I4" i="1" s="1"/>
  <c r="P3" i="1"/>
  <c r="M4" i="1"/>
  <c r="M5" i="1"/>
  <c r="M6" i="1"/>
  <c r="M7" i="1"/>
  <c r="M8" i="1"/>
  <c r="N8" i="1" s="1"/>
  <c r="M9" i="1"/>
  <c r="M10" i="1"/>
  <c r="M11" i="1"/>
  <c r="M12" i="1"/>
  <c r="N12" i="1" s="1"/>
  <c r="M13" i="1"/>
  <c r="M14" i="1"/>
  <c r="M15" i="1"/>
  <c r="AR15" i="1" s="1"/>
  <c r="M16" i="1"/>
  <c r="AR16" i="1" s="1"/>
  <c r="M17" i="1"/>
  <c r="AR17" i="1" s="1"/>
  <c r="G24" i="3"/>
  <c r="C14" i="2"/>
  <c r="C8" i="2"/>
  <c r="C9" i="2"/>
  <c r="C11" i="2"/>
  <c r="C59" i="3"/>
  <c r="C61" i="3"/>
  <c r="C64" i="3"/>
  <c r="AD46" i="1"/>
  <c r="I5" i="1"/>
  <c r="I6" i="1" s="1"/>
  <c r="AO58" i="1"/>
  <c r="C5" i="2"/>
  <c r="C10" i="2"/>
  <c r="C4" i="2"/>
  <c r="C6" i="2"/>
  <c r="C15" i="2"/>
  <c r="C13" i="2"/>
  <c r="T65" i="3" l="1"/>
  <c r="U58" i="3" s="1"/>
  <c r="F54" i="1"/>
  <c r="AN64" i="1"/>
  <c r="N20" i="1"/>
  <c r="AN47" i="1"/>
  <c r="C12" i="2"/>
  <c r="N42" i="1"/>
  <c r="R41" i="1"/>
  <c r="AN62" i="1"/>
  <c r="AN57" i="1"/>
  <c r="N43" i="1"/>
  <c r="AN55" i="1"/>
  <c r="AN54" i="1"/>
  <c r="AN53" i="1"/>
  <c r="AN52" i="1"/>
  <c r="AO52" i="1" s="1"/>
  <c r="AN51" i="1"/>
  <c r="AN50" i="1"/>
  <c r="AN49" i="1"/>
  <c r="AN48" i="1"/>
  <c r="AN56" i="1"/>
  <c r="AO56" i="1" s="1"/>
  <c r="AN65" i="1"/>
  <c r="AO65" i="1" s="1"/>
  <c r="R6" i="1"/>
  <c r="BO55" i="1" s="1"/>
  <c r="N25" i="1"/>
  <c r="R39" i="1"/>
  <c r="N46" i="1"/>
  <c r="N52" i="1"/>
  <c r="B81" i="3"/>
  <c r="B80" i="3"/>
  <c r="B79" i="3"/>
  <c r="B78" i="3"/>
  <c r="B77" i="3"/>
  <c r="B76" i="3"/>
  <c r="B75" i="3"/>
  <c r="B74" i="3"/>
  <c r="B73" i="3"/>
  <c r="B72" i="3"/>
  <c r="B71" i="3"/>
  <c r="B70" i="3"/>
  <c r="Z83" i="3"/>
  <c r="AO59" i="1"/>
  <c r="N24" i="1"/>
  <c r="N39" i="1"/>
  <c r="N53" i="1"/>
  <c r="AO51" i="1"/>
  <c r="F57" i="1"/>
  <c r="N26" i="1"/>
  <c r="R16" i="1"/>
  <c r="N49" i="1"/>
  <c r="N17" i="1"/>
  <c r="R42" i="1"/>
  <c r="BO58" i="1" s="1"/>
  <c r="N40" i="1"/>
  <c r="N54" i="1"/>
  <c r="R40" i="1"/>
  <c r="AO54" i="1"/>
  <c r="AO50" i="1"/>
  <c r="U57" i="3"/>
  <c r="C56" i="3"/>
  <c r="C53" i="3"/>
  <c r="C7" i="3"/>
  <c r="C45" i="3"/>
  <c r="C16" i="3"/>
  <c r="I70" i="3"/>
  <c r="B83" i="3"/>
  <c r="C83" i="3" s="1"/>
  <c r="C46" i="3"/>
  <c r="C5" i="3"/>
  <c r="R15" i="1"/>
  <c r="R44" i="1"/>
  <c r="R23" i="1"/>
  <c r="R24" i="1"/>
  <c r="N16" i="1"/>
  <c r="N44" i="1"/>
  <c r="N48" i="1"/>
  <c r="N15" i="1"/>
  <c r="N41" i="1"/>
  <c r="AE46" i="1"/>
  <c r="R21" i="1"/>
  <c r="R20" i="1"/>
  <c r="N6" i="1"/>
  <c r="R29" i="1"/>
  <c r="R30" i="1"/>
  <c r="BO57" i="1" s="1"/>
  <c r="N27" i="1"/>
  <c r="N32" i="1"/>
  <c r="R47" i="1"/>
  <c r="R45" i="1"/>
  <c r="R52" i="1"/>
  <c r="N47" i="1"/>
  <c r="N50" i="1"/>
  <c r="N31" i="1"/>
  <c r="AB99" i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R34" i="1"/>
  <c r="R9" i="1"/>
  <c r="R53" i="1"/>
  <c r="R49" i="1"/>
  <c r="R48" i="1"/>
  <c r="R46" i="1"/>
  <c r="R35" i="1"/>
  <c r="N34" i="1"/>
  <c r="N45" i="1"/>
  <c r="AR41" i="1"/>
  <c r="N13" i="1"/>
  <c r="N23" i="1"/>
  <c r="R28" i="1"/>
  <c r="R31" i="1"/>
  <c r="R54" i="1"/>
  <c r="BO59" i="1" s="1"/>
  <c r="R37" i="1"/>
  <c r="R32" i="1"/>
  <c r="R36" i="1"/>
  <c r="N7" i="1"/>
  <c r="AO57" i="1"/>
  <c r="R27" i="1"/>
  <c r="R18" i="1"/>
  <c r="BO56" i="1" s="1"/>
  <c r="R38" i="1"/>
  <c r="R22" i="1"/>
  <c r="N36" i="1"/>
  <c r="N38" i="1"/>
  <c r="N30" i="1"/>
  <c r="R50" i="1"/>
  <c r="R51" i="1"/>
  <c r="R43" i="1"/>
  <c r="R17" i="1"/>
  <c r="R33" i="1"/>
  <c r="N51" i="1"/>
  <c r="N29" i="1"/>
  <c r="N22" i="1"/>
  <c r="R26" i="1"/>
  <c r="AO47" i="1"/>
  <c r="AO48" i="1"/>
  <c r="G48" i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54" i="2"/>
  <c r="U82" i="3"/>
  <c r="U70" i="3"/>
  <c r="U71" i="3"/>
  <c r="U72" i="3"/>
  <c r="U73" i="3"/>
  <c r="U74" i="3"/>
  <c r="U75" i="3"/>
  <c r="U76" i="3"/>
  <c r="U77" i="3"/>
  <c r="U78" i="3"/>
  <c r="U79" i="3"/>
  <c r="U80" i="3"/>
  <c r="U81" i="3"/>
  <c r="N14" i="1"/>
  <c r="P4" i="1"/>
  <c r="AR18" i="1"/>
  <c r="AR20" i="1"/>
  <c r="AR21" i="1"/>
  <c r="AR26" i="1"/>
  <c r="AR25" i="1"/>
  <c r="AR23" i="1"/>
  <c r="AR27" i="1"/>
  <c r="AR24" i="1"/>
  <c r="AR22" i="1"/>
  <c r="AR32" i="1"/>
  <c r="AR31" i="1"/>
  <c r="AR33" i="1"/>
  <c r="AR34" i="1"/>
  <c r="AR36" i="1"/>
  <c r="AR37" i="1"/>
  <c r="AR39" i="1"/>
  <c r="AR38" i="1"/>
  <c r="AR35" i="1"/>
  <c r="AR43" i="1"/>
  <c r="AR44" i="1"/>
  <c r="AR46" i="1"/>
  <c r="AR47" i="1"/>
  <c r="AR45" i="1"/>
  <c r="AR48" i="1"/>
  <c r="AR49" i="1"/>
  <c r="AR50" i="1"/>
  <c r="H65" i="3"/>
  <c r="I55" i="3" s="1"/>
  <c r="AR52" i="1"/>
  <c r="AR53" i="1"/>
  <c r="AR30" i="1"/>
  <c r="AR29" i="1"/>
  <c r="Z65" i="3"/>
  <c r="AA55" i="3" s="1"/>
  <c r="R56" i="1"/>
  <c r="AO55" i="1"/>
  <c r="AO53" i="1"/>
  <c r="AO49" i="1"/>
  <c r="AR57" i="1"/>
  <c r="AR69" i="1"/>
  <c r="AN46" i="1"/>
  <c r="AO46" i="1" s="1"/>
  <c r="AR59" i="1"/>
  <c r="AR71" i="1"/>
  <c r="AC81" i="3"/>
  <c r="AC80" i="3"/>
  <c r="AC79" i="3"/>
  <c r="AC78" i="3"/>
  <c r="AC77" i="3"/>
  <c r="AC76" i="3"/>
  <c r="AC75" i="3"/>
  <c r="AC74" i="3"/>
  <c r="AC73" i="3"/>
  <c r="AC72" i="3"/>
  <c r="AC71" i="3"/>
  <c r="AC70" i="3"/>
  <c r="AR60" i="1"/>
  <c r="AR72" i="1"/>
  <c r="AR61" i="1"/>
  <c r="AR73" i="1"/>
  <c r="AR62" i="1"/>
  <c r="AR74" i="1"/>
  <c r="AO60" i="1"/>
  <c r="AI66" i="1"/>
  <c r="AI72" i="1"/>
  <c r="AI71" i="1"/>
  <c r="AI69" i="1"/>
  <c r="AI67" i="1"/>
  <c r="AI74" i="1"/>
  <c r="AI70" i="1"/>
  <c r="AI73" i="1"/>
  <c r="AI68" i="1"/>
  <c r="AI59" i="1"/>
  <c r="AI63" i="1"/>
  <c r="AI60" i="1"/>
  <c r="AI57" i="1"/>
  <c r="AI61" i="1"/>
  <c r="AI58" i="1"/>
  <c r="AI62" i="1"/>
  <c r="AA73" i="1"/>
  <c r="AR58" i="1"/>
  <c r="R55" i="1"/>
  <c r="AR55" i="1"/>
  <c r="AR67" i="1"/>
  <c r="N55" i="1"/>
  <c r="AR56" i="1"/>
  <c r="AR68" i="1"/>
  <c r="N56" i="1"/>
  <c r="R58" i="1"/>
  <c r="R57" i="1"/>
  <c r="N58" i="1"/>
  <c r="N57" i="1"/>
  <c r="N62" i="1"/>
  <c r="AO64" i="1"/>
  <c r="N66" i="1"/>
  <c r="O77" i="1" s="1"/>
  <c r="R66" i="1"/>
  <c r="BO60" i="1" s="1"/>
  <c r="R74" i="1"/>
  <c r="R72" i="1"/>
  <c r="R70" i="1"/>
  <c r="R69" i="1"/>
  <c r="R73" i="1"/>
  <c r="R75" i="1"/>
  <c r="R67" i="1"/>
  <c r="R71" i="1"/>
  <c r="R68" i="1"/>
  <c r="AI65" i="1"/>
  <c r="AI64" i="1"/>
  <c r="AA59" i="3"/>
  <c r="U59" i="3"/>
  <c r="C8" i="3"/>
  <c r="C14" i="3"/>
  <c r="C54" i="3"/>
  <c r="C58" i="3"/>
  <c r="C60" i="3"/>
  <c r="L33" i="3"/>
  <c r="M32" i="3" s="1"/>
  <c r="N65" i="3"/>
  <c r="O60" i="3" s="1"/>
  <c r="U55" i="3"/>
  <c r="U53" i="3"/>
  <c r="U63" i="3"/>
  <c r="C11" i="3"/>
  <c r="C15" i="3"/>
  <c r="C62" i="3"/>
  <c r="C57" i="3"/>
  <c r="U56" i="3"/>
  <c r="U60" i="3"/>
  <c r="C6" i="3"/>
  <c r="C13" i="3"/>
  <c r="C12" i="3"/>
  <c r="C63" i="3"/>
  <c r="C55" i="3"/>
  <c r="C10" i="3"/>
  <c r="B82" i="3"/>
  <c r="O55" i="3"/>
  <c r="O64" i="3"/>
  <c r="O58" i="3"/>
  <c r="U64" i="3"/>
  <c r="C37" i="3"/>
  <c r="C43" i="3"/>
  <c r="I80" i="3"/>
  <c r="I72" i="3"/>
  <c r="U62" i="3"/>
  <c r="C48" i="3"/>
  <c r="C38" i="3"/>
  <c r="E33" i="3"/>
  <c r="F21" i="3" s="1"/>
  <c r="I79" i="3"/>
  <c r="I75" i="3"/>
  <c r="I71" i="3"/>
  <c r="O77" i="3"/>
  <c r="I81" i="3"/>
  <c r="I77" i="3"/>
  <c r="I73" i="3"/>
  <c r="AA60" i="3"/>
  <c r="U54" i="3"/>
  <c r="C44" i="3"/>
  <c r="I76" i="3"/>
  <c r="O81" i="3"/>
  <c r="AA54" i="3"/>
  <c r="AA57" i="3"/>
  <c r="U61" i="3"/>
  <c r="C41" i="3"/>
  <c r="C42" i="3"/>
  <c r="I82" i="3"/>
  <c r="I78" i="3"/>
  <c r="I74" i="3"/>
  <c r="O73" i="3"/>
  <c r="AO61" i="1"/>
  <c r="AR64" i="1"/>
  <c r="R65" i="1"/>
  <c r="N65" i="1"/>
  <c r="R59" i="1"/>
  <c r="R61" i="1"/>
  <c r="R60" i="1"/>
  <c r="R62" i="1"/>
  <c r="N60" i="1"/>
  <c r="N61" i="1"/>
  <c r="N59" i="1"/>
  <c r="N63" i="1"/>
  <c r="AO62" i="1"/>
  <c r="AO63" i="1"/>
  <c r="AR63" i="1"/>
  <c r="I7" i="1"/>
  <c r="AA64" i="3"/>
  <c r="AA62" i="3"/>
  <c r="R25" i="1"/>
  <c r="N18" i="1"/>
  <c r="N9" i="1"/>
  <c r="AD47" i="1"/>
  <c r="I64" i="3"/>
  <c r="AR19" i="1"/>
  <c r="AR28" i="1"/>
  <c r="AA63" i="3"/>
  <c r="R19" i="1"/>
  <c r="N11" i="1"/>
  <c r="N10" i="1"/>
  <c r="AR65" i="1"/>
  <c r="AR51" i="1"/>
  <c r="N64" i="1"/>
  <c r="N19" i="1"/>
  <c r="N33" i="1"/>
  <c r="N37" i="1"/>
  <c r="C40" i="3"/>
  <c r="C39" i="3"/>
  <c r="O80" i="3"/>
  <c r="O76" i="3"/>
  <c r="O72" i="3"/>
  <c r="AR54" i="1"/>
  <c r="R64" i="1"/>
  <c r="O79" i="3"/>
  <c r="O75" i="3"/>
  <c r="O71" i="3"/>
  <c r="R63" i="1"/>
  <c r="O82" i="3"/>
  <c r="O78" i="3"/>
  <c r="O74" i="3"/>
  <c r="AA58" i="3" l="1"/>
  <c r="AA61" i="3"/>
  <c r="AA53" i="3"/>
  <c r="O76" i="1"/>
  <c r="O50" i="1"/>
  <c r="O49" i="1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O32" i="1"/>
  <c r="I62" i="3"/>
  <c r="D65" i="3"/>
  <c r="C73" i="3"/>
  <c r="I58" i="3"/>
  <c r="AC82" i="3"/>
  <c r="AD73" i="3" s="1"/>
  <c r="C77" i="3"/>
  <c r="I57" i="3"/>
  <c r="I53" i="3"/>
  <c r="I63" i="3"/>
  <c r="I56" i="3"/>
  <c r="C74" i="3"/>
  <c r="C71" i="3"/>
  <c r="C76" i="3"/>
  <c r="C81" i="3"/>
  <c r="C79" i="3"/>
  <c r="I60" i="3"/>
  <c r="I54" i="3"/>
  <c r="C70" i="3"/>
  <c r="C72" i="3"/>
  <c r="I59" i="3"/>
  <c r="I61" i="3"/>
  <c r="C82" i="3"/>
  <c r="C78" i="3"/>
  <c r="C75" i="3"/>
  <c r="C80" i="3"/>
  <c r="M30" i="3"/>
  <c r="M22" i="3"/>
  <c r="M27" i="3"/>
  <c r="F28" i="3"/>
  <c r="F32" i="3"/>
  <c r="F24" i="3"/>
  <c r="M21" i="3"/>
  <c r="O59" i="3"/>
  <c r="O56" i="3"/>
  <c r="AA56" i="3"/>
  <c r="AA65" i="3" s="1"/>
  <c r="M28" i="3"/>
  <c r="O53" i="1"/>
  <c r="O30" i="1"/>
  <c r="O75" i="1"/>
  <c r="O31" i="1"/>
  <c r="O51" i="1"/>
  <c r="O54" i="1"/>
  <c r="O52" i="1"/>
  <c r="G74" i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O48" i="1"/>
  <c r="O47" i="1"/>
  <c r="O46" i="1"/>
  <c r="O45" i="1"/>
  <c r="O44" i="1"/>
  <c r="O37" i="1"/>
  <c r="O40" i="1"/>
  <c r="O39" i="1"/>
  <c r="O34" i="1"/>
  <c r="O33" i="1"/>
  <c r="O43" i="1"/>
  <c r="O41" i="1"/>
  <c r="O42" i="1"/>
  <c r="O35" i="1"/>
  <c r="O36" i="1"/>
  <c r="O38" i="1"/>
  <c r="O21" i="1"/>
  <c r="O22" i="1"/>
  <c r="O20" i="1"/>
  <c r="O19" i="1"/>
  <c r="O17" i="1"/>
  <c r="O18" i="1"/>
  <c r="O29" i="1"/>
  <c r="O28" i="1"/>
  <c r="O27" i="1"/>
  <c r="O26" i="1"/>
  <c r="O74" i="1"/>
  <c r="O70" i="1"/>
  <c r="O72" i="1"/>
  <c r="O71" i="1"/>
  <c r="U65" i="3"/>
  <c r="C65" i="3"/>
  <c r="O73" i="1"/>
  <c r="O68" i="1"/>
  <c r="O69" i="1"/>
  <c r="O67" i="1"/>
  <c r="O66" i="1"/>
  <c r="O55" i="1"/>
  <c r="O64" i="1"/>
  <c r="O65" i="1"/>
  <c r="O62" i="1"/>
  <c r="O63" i="1"/>
  <c r="O58" i="1"/>
  <c r="O60" i="1"/>
  <c r="O59" i="1"/>
  <c r="O61" i="1"/>
  <c r="O57" i="1"/>
  <c r="O56" i="1"/>
  <c r="Q4" i="1"/>
  <c r="P5" i="1"/>
  <c r="O25" i="1"/>
  <c r="O24" i="1"/>
  <c r="O23" i="1"/>
  <c r="AA74" i="1"/>
  <c r="AD78" i="3"/>
  <c r="AD77" i="3"/>
  <c r="AD71" i="3"/>
  <c r="I83" i="3"/>
  <c r="O54" i="3"/>
  <c r="O63" i="3"/>
  <c r="O53" i="3"/>
  <c r="O61" i="3"/>
  <c r="M33" i="3"/>
  <c r="M26" i="3"/>
  <c r="M23" i="3"/>
  <c r="M31" i="3"/>
  <c r="C49" i="3"/>
  <c r="M29" i="3"/>
  <c r="O62" i="3"/>
  <c r="O57" i="3"/>
  <c r="M24" i="3"/>
  <c r="M25" i="3"/>
  <c r="O83" i="3"/>
  <c r="F27" i="3"/>
  <c r="F33" i="3"/>
  <c r="F26" i="3"/>
  <c r="F31" i="3"/>
  <c r="G33" i="3"/>
  <c r="F29" i="3"/>
  <c r="F25" i="3"/>
  <c r="F23" i="3"/>
  <c r="F30" i="3"/>
  <c r="F22" i="3"/>
  <c r="U83" i="3"/>
  <c r="I8" i="1"/>
  <c r="AE47" i="1"/>
  <c r="AD48" i="1"/>
  <c r="I65" i="3" l="1"/>
  <c r="AD75" i="3"/>
  <c r="AD81" i="3"/>
  <c r="AD79" i="3"/>
  <c r="AD72" i="3"/>
  <c r="AD70" i="3"/>
  <c r="AD76" i="3"/>
  <c r="AD80" i="3"/>
  <c r="AD74" i="3"/>
  <c r="D83" i="3"/>
  <c r="O65" i="3"/>
  <c r="G86" i="1"/>
  <c r="G87" i="1" s="1"/>
  <c r="G88" i="1" s="1"/>
  <c r="G89" i="1" s="1"/>
  <c r="G90" i="1" s="1"/>
  <c r="P6" i="1"/>
  <c r="Q5" i="1"/>
  <c r="AA75" i="1"/>
  <c r="H31" i="3"/>
  <c r="H22" i="3"/>
  <c r="H32" i="3"/>
  <c r="H25" i="3"/>
  <c r="H33" i="3"/>
  <c r="H26" i="3"/>
  <c r="H27" i="3"/>
  <c r="H21" i="3"/>
  <c r="H30" i="3"/>
  <c r="H24" i="3"/>
  <c r="H29" i="3"/>
  <c r="H28" i="3"/>
  <c r="H23" i="3"/>
  <c r="I9" i="1"/>
  <c r="AE48" i="1"/>
  <c r="AD49" i="1"/>
  <c r="G91" i="1" l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AD82" i="3"/>
  <c r="P7" i="1"/>
  <c r="Q6" i="1"/>
  <c r="AA76" i="1"/>
  <c r="AE49" i="1"/>
  <c r="AD50" i="1"/>
  <c r="I10" i="1"/>
  <c r="P8" i="1" l="1"/>
  <c r="Q7" i="1"/>
  <c r="AA77" i="1"/>
  <c r="AE50" i="1"/>
  <c r="AD51" i="1"/>
  <c r="I11" i="1"/>
  <c r="P9" i="1" l="1"/>
  <c r="Q8" i="1"/>
  <c r="AA78" i="1"/>
  <c r="I12" i="1"/>
  <c r="AE51" i="1"/>
  <c r="AD52" i="1"/>
  <c r="P10" i="1" l="1"/>
  <c r="Q9" i="1"/>
  <c r="AA79" i="1"/>
  <c r="AE52" i="1"/>
  <c r="AD53" i="1"/>
  <c r="I13" i="1"/>
  <c r="P11" i="1" l="1"/>
  <c r="Q10" i="1"/>
  <c r="AA80" i="1"/>
  <c r="I14" i="1"/>
  <c r="AE53" i="1"/>
  <c r="AD54" i="1"/>
  <c r="P12" i="1" l="1"/>
  <c r="Q11" i="1"/>
  <c r="AA81" i="1"/>
  <c r="AE54" i="1"/>
  <c r="AD55" i="1"/>
  <c r="I15" i="1"/>
  <c r="P13" i="1" l="1"/>
  <c r="Q12" i="1"/>
  <c r="AA82" i="1"/>
  <c r="I16" i="1"/>
  <c r="AE55" i="1"/>
  <c r="AD56" i="1"/>
  <c r="P14" i="1" l="1"/>
  <c r="Q13" i="1"/>
  <c r="AA83" i="1"/>
  <c r="AE56" i="1"/>
  <c r="AD57" i="1"/>
  <c r="I17" i="1"/>
  <c r="P15" i="1" l="1"/>
  <c r="Q14" i="1"/>
  <c r="AA84" i="1"/>
  <c r="I18" i="1"/>
  <c r="AE57" i="1"/>
  <c r="AD58" i="1"/>
  <c r="P16" i="1" l="1"/>
  <c r="Q15" i="1"/>
  <c r="AA85" i="1"/>
  <c r="AE58" i="1"/>
  <c r="AD59" i="1"/>
  <c r="I19" i="1"/>
  <c r="P17" i="1" l="1"/>
  <c r="Q16" i="1"/>
  <c r="AA86" i="1"/>
  <c r="I20" i="1"/>
  <c r="AE59" i="1"/>
  <c r="AD60" i="1"/>
  <c r="P18" i="1" l="1"/>
  <c r="Q17" i="1"/>
  <c r="AA87" i="1"/>
  <c r="AA88" i="1" s="1"/>
  <c r="AA89" i="1" s="1"/>
  <c r="AA90" i="1" s="1"/>
  <c r="AA91" i="1" s="1"/>
  <c r="AA92" i="1" s="1"/>
  <c r="AA93" i="1" s="1"/>
  <c r="AA94" i="1" s="1"/>
  <c r="AE60" i="1"/>
  <c r="AD61" i="1"/>
  <c r="I21" i="1"/>
  <c r="P19" i="1" l="1"/>
  <c r="Q18" i="1"/>
  <c r="AA95" i="1"/>
  <c r="I22" i="1"/>
  <c r="AD62" i="1"/>
  <c r="AE61" i="1"/>
  <c r="P20" i="1" l="1"/>
  <c r="Q19" i="1"/>
  <c r="AA96" i="1"/>
  <c r="AD63" i="1"/>
  <c r="AE62" i="1"/>
  <c r="I23" i="1"/>
  <c r="P21" i="1" l="1"/>
  <c r="Q20" i="1"/>
  <c r="AA97" i="1"/>
  <c r="I24" i="1"/>
  <c r="AE63" i="1"/>
  <c r="AD64" i="1"/>
  <c r="P22" i="1" l="1"/>
  <c r="Q21" i="1"/>
  <c r="AA98" i="1"/>
  <c r="AA99" i="1" s="1"/>
  <c r="AA100" i="1" s="1"/>
  <c r="AA101" i="1" s="1"/>
  <c r="AA102" i="1" s="1"/>
  <c r="AA103" i="1" s="1"/>
  <c r="AA104" i="1" s="1"/>
  <c r="AA105" i="1" s="1"/>
  <c r="AA106" i="1" s="1"/>
  <c r="AA107" i="1" s="1"/>
  <c r="AE64" i="1"/>
  <c r="AD65" i="1"/>
  <c r="I25" i="1"/>
  <c r="AA108" i="1" l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E135" i="1" s="1"/>
  <c r="P23" i="1"/>
  <c r="Q22" i="1"/>
  <c r="AE65" i="1"/>
  <c r="AD66" i="1"/>
  <c r="I26" i="1"/>
  <c r="P24" i="1" l="1"/>
  <c r="Q23" i="1"/>
  <c r="AE66" i="1"/>
  <c r="AD67" i="1"/>
  <c r="I27" i="1"/>
  <c r="P25" i="1" l="1"/>
  <c r="Q24" i="1"/>
  <c r="AD68" i="1"/>
  <c r="AE67" i="1"/>
  <c r="I28" i="1"/>
  <c r="P26" i="1" l="1"/>
  <c r="Q25" i="1"/>
  <c r="AD69" i="1"/>
  <c r="AE68" i="1"/>
  <c r="I29" i="1"/>
  <c r="P27" i="1" l="1"/>
  <c r="Q26" i="1"/>
  <c r="AE69" i="1"/>
  <c r="AD70" i="1"/>
  <c r="I30" i="1"/>
  <c r="P28" i="1" l="1"/>
  <c r="Q27" i="1"/>
  <c r="AD71" i="1"/>
  <c r="AE70" i="1"/>
  <c r="I31" i="1"/>
  <c r="P29" i="1" l="1"/>
  <c r="Q28" i="1"/>
  <c r="AE71" i="1"/>
  <c r="AD72" i="1"/>
  <c r="I32" i="1"/>
  <c r="P30" i="1" l="1"/>
  <c r="Q29" i="1"/>
  <c r="AD73" i="1"/>
  <c r="AE72" i="1"/>
  <c r="I33" i="1"/>
  <c r="P31" i="1" l="1"/>
  <c r="Q30" i="1"/>
  <c r="AD74" i="1"/>
  <c r="AE73" i="1"/>
  <c r="I34" i="1"/>
  <c r="P32" i="1" l="1"/>
  <c r="Q31" i="1"/>
  <c r="AD75" i="1"/>
  <c r="AE74" i="1"/>
  <c r="I35" i="1"/>
  <c r="P33" i="1" l="1"/>
  <c r="Q32" i="1"/>
  <c r="AD76" i="1"/>
  <c r="AE75" i="1"/>
  <c r="I36" i="1"/>
  <c r="P34" i="1" l="1"/>
  <c r="Q33" i="1"/>
  <c r="AD77" i="1"/>
  <c r="AE76" i="1"/>
  <c r="I37" i="1"/>
  <c r="P35" i="1" l="1"/>
  <c r="Q34" i="1"/>
  <c r="AD78" i="1"/>
  <c r="AE77" i="1"/>
  <c r="I38" i="1"/>
  <c r="P36" i="1" l="1"/>
  <c r="Q35" i="1"/>
  <c r="AD79" i="1"/>
  <c r="AE78" i="1"/>
  <c r="I39" i="1"/>
  <c r="P37" i="1" l="1"/>
  <c r="Q36" i="1"/>
  <c r="AD80" i="1"/>
  <c r="AE79" i="1"/>
  <c r="I40" i="1"/>
  <c r="P38" i="1" l="1"/>
  <c r="Q37" i="1"/>
  <c r="AD81" i="1"/>
  <c r="AE80" i="1"/>
  <c r="I41" i="1"/>
  <c r="P39" i="1" l="1"/>
  <c r="Q38" i="1"/>
  <c r="AD82" i="1"/>
  <c r="AE81" i="1"/>
  <c r="I42" i="1"/>
  <c r="P40" i="1" l="1"/>
  <c r="Q39" i="1"/>
  <c r="AD83" i="1"/>
  <c r="AE82" i="1"/>
  <c r="I43" i="1"/>
  <c r="P41" i="1" l="1"/>
  <c r="Q40" i="1"/>
  <c r="AD84" i="1"/>
  <c r="AE83" i="1"/>
  <c r="I44" i="1"/>
  <c r="P42" i="1" l="1"/>
  <c r="Q41" i="1"/>
  <c r="AD85" i="1"/>
  <c r="AE84" i="1"/>
  <c r="I45" i="1"/>
  <c r="P43" i="1" l="1"/>
  <c r="Q42" i="1"/>
  <c r="AD86" i="1"/>
  <c r="AE85" i="1"/>
  <c r="I46" i="1"/>
  <c r="P44" i="1" l="1"/>
  <c r="Q43" i="1"/>
  <c r="AD87" i="1"/>
  <c r="AE86" i="1"/>
  <c r="I47" i="1"/>
  <c r="P45" i="1" l="1"/>
  <c r="Q44" i="1"/>
  <c r="AE87" i="1"/>
  <c r="AD88" i="1"/>
  <c r="I48" i="1"/>
  <c r="P46" i="1" l="1"/>
  <c r="Q45" i="1"/>
  <c r="AE88" i="1"/>
  <c r="AD89" i="1"/>
  <c r="I49" i="1"/>
  <c r="P47" i="1" l="1"/>
  <c r="Q46" i="1"/>
  <c r="AE89" i="1"/>
  <c r="AD90" i="1"/>
  <c r="I50" i="1"/>
  <c r="P48" i="1" l="1"/>
  <c r="Q47" i="1"/>
  <c r="AE90" i="1"/>
  <c r="AD91" i="1"/>
  <c r="I51" i="1"/>
  <c r="P49" i="1" l="1"/>
  <c r="Q48" i="1"/>
  <c r="AE91" i="1"/>
  <c r="AD92" i="1"/>
  <c r="I52" i="1"/>
  <c r="P50" i="1" l="1"/>
  <c r="Q49" i="1"/>
  <c r="AD93" i="1"/>
  <c r="AE92" i="1"/>
  <c r="I53" i="1"/>
  <c r="P51" i="1" l="1"/>
  <c r="Q50" i="1"/>
  <c r="AE93" i="1"/>
  <c r="AD94" i="1"/>
  <c r="I54" i="1"/>
  <c r="P52" i="1" l="1"/>
  <c r="Q51" i="1"/>
  <c r="AD95" i="1"/>
  <c r="AE94" i="1"/>
  <c r="I55" i="1"/>
  <c r="P53" i="1" l="1"/>
  <c r="Q52" i="1"/>
  <c r="AD96" i="1"/>
  <c r="AE95" i="1"/>
  <c r="I56" i="1"/>
  <c r="P54" i="1" l="1"/>
  <c r="Q53" i="1"/>
  <c r="AD97" i="1"/>
  <c r="AE96" i="1"/>
  <c r="I57" i="1"/>
  <c r="P55" i="1" l="1"/>
  <c r="Q54" i="1"/>
  <c r="AD98" i="1"/>
  <c r="AE97" i="1"/>
  <c r="I58" i="1"/>
  <c r="AE98" i="1" l="1"/>
  <c r="AD99" i="1"/>
  <c r="P56" i="1"/>
  <c r="Q55" i="1"/>
  <c r="I59" i="1"/>
  <c r="P57" i="1" l="1"/>
  <c r="Q56" i="1"/>
  <c r="AD100" i="1"/>
  <c r="AE99" i="1"/>
  <c r="I60" i="1"/>
  <c r="AD101" i="1" l="1"/>
  <c r="AE100" i="1"/>
  <c r="P58" i="1"/>
  <c r="Q57" i="1"/>
  <c r="I61" i="1"/>
  <c r="P59" i="1" l="1"/>
  <c r="Q58" i="1"/>
  <c r="AE101" i="1"/>
  <c r="AD102" i="1"/>
  <c r="I62" i="1"/>
  <c r="AE102" i="1" l="1"/>
  <c r="AD103" i="1"/>
  <c r="P60" i="1"/>
  <c r="Q59" i="1"/>
  <c r="I63" i="1"/>
  <c r="AE103" i="1" l="1"/>
  <c r="AD104" i="1"/>
  <c r="P61" i="1"/>
  <c r="Q60" i="1"/>
  <c r="I64" i="1"/>
  <c r="AE104" i="1" l="1"/>
  <c r="AD105" i="1"/>
  <c r="P62" i="1"/>
  <c r="Q61" i="1"/>
  <c r="I65" i="1"/>
  <c r="AE105" i="1" l="1"/>
  <c r="AD106" i="1"/>
  <c r="P63" i="1"/>
  <c r="Q62" i="1"/>
  <c r="I66" i="1"/>
  <c r="AE106" i="1" l="1"/>
  <c r="AD107" i="1"/>
  <c r="P64" i="1"/>
  <c r="Q63" i="1"/>
  <c r="I67" i="1"/>
  <c r="AD108" i="1" l="1"/>
  <c r="AE107" i="1"/>
  <c r="P65" i="1"/>
  <c r="Q64" i="1"/>
  <c r="I68" i="1"/>
  <c r="AD109" i="1" l="1"/>
  <c r="AE108" i="1"/>
  <c r="P66" i="1"/>
  <c r="Q65" i="1"/>
  <c r="I69" i="1"/>
  <c r="AD110" i="1" l="1"/>
  <c r="AE109" i="1"/>
  <c r="P67" i="1"/>
  <c r="Q66" i="1"/>
  <c r="I70" i="1"/>
  <c r="AD111" i="1" l="1"/>
  <c r="AE110" i="1"/>
  <c r="P68" i="1"/>
  <c r="Q67" i="1"/>
  <c r="I71" i="1"/>
  <c r="AE111" i="1" l="1"/>
  <c r="AD112" i="1"/>
  <c r="P69" i="1"/>
  <c r="Q68" i="1"/>
  <c r="I72" i="1"/>
  <c r="AE112" i="1" l="1"/>
  <c r="AD113" i="1"/>
  <c r="P70" i="1"/>
  <c r="Q69" i="1"/>
  <c r="I73" i="1"/>
  <c r="AD114" i="1" l="1"/>
  <c r="AE113" i="1"/>
  <c r="P71" i="1"/>
  <c r="Q70" i="1"/>
  <c r="I74" i="1"/>
  <c r="AE114" i="1" l="1"/>
  <c r="AD115" i="1"/>
  <c r="P72" i="1"/>
  <c r="Q71" i="1"/>
  <c r="I75" i="1"/>
  <c r="AE115" i="1" l="1"/>
  <c r="AD116" i="1"/>
  <c r="P73" i="1"/>
  <c r="Q72" i="1"/>
  <c r="I76" i="1"/>
  <c r="AE116" i="1" l="1"/>
  <c r="AD117" i="1"/>
  <c r="P74" i="1"/>
  <c r="Q73" i="1"/>
  <c r="I77" i="1"/>
  <c r="AE117" i="1" l="1"/>
  <c r="AD118" i="1"/>
  <c r="P75" i="1"/>
  <c r="Q74" i="1"/>
  <c r="I78" i="1"/>
  <c r="AE118" i="1" l="1"/>
  <c r="AD119" i="1"/>
  <c r="P76" i="1"/>
  <c r="Q75" i="1"/>
  <c r="I79" i="1"/>
  <c r="AE119" i="1" l="1"/>
  <c r="AD120" i="1"/>
  <c r="P77" i="1"/>
  <c r="Q76" i="1"/>
  <c r="I80" i="1"/>
  <c r="AE120" i="1" l="1"/>
  <c r="AD121" i="1"/>
  <c r="P78" i="1"/>
  <c r="Q77" i="1"/>
  <c r="I81" i="1"/>
  <c r="AD122" i="1" l="1"/>
  <c r="AE121" i="1"/>
  <c r="P79" i="1"/>
  <c r="Q78" i="1"/>
  <c r="I82" i="1"/>
  <c r="AE122" i="1" l="1"/>
  <c r="AD123" i="1"/>
  <c r="P80" i="1"/>
  <c r="Q79" i="1"/>
  <c r="I83" i="1"/>
  <c r="AE123" i="1" l="1"/>
  <c r="AD124" i="1"/>
  <c r="P81" i="1"/>
  <c r="Q80" i="1"/>
  <c r="I84" i="1"/>
  <c r="AE124" i="1" l="1"/>
  <c r="AD125" i="1"/>
  <c r="P82" i="1"/>
  <c r="Q81" i="1"/>
  <c r="I85" i="1"/>
  <c r="AE125" i="1" l="1"/>
  <c r="AD126" i="1"/>
  <c r="P83" i="1"/>
  <c r="Q82" i="1"/>
  <c r="I86" i="1"/>
  <c r="AE126" i="1" l="1"/>
  <c r="AD127" i="1"/>
  <c r="P84" i="1"/>
  <c r="Q83" i="1"/>
  <c r="I87" i="1"/>
  <c r="AE127" i="1" l="1"/>
  <c r="AD128" i="1"/>
  <c r="P85" i="1"/>
  <c r="Q84" i="1"/>
  <c r="I88" i="1"/>
  <c r="AD129" i="1" l="1"/>
  <c r="AE128" i="1"/>
  <c r="P86" i="1"/>
  <c r="Q85" i="1"/>
  <c r="I89" i="1"/>
  <c r="AE129" i="1" l="1"/>
  <c r="AD130" i="1"/>
  <c r="P87" i="1"/>
  <c r="Q86" i="1"/>
  <c r="I90" i="1"/>
  <c r="AE130" i="1" l="1"/>
  <c r="AD131" i="1"/>
  <c r="P88" i="1"/>
  <c r="Q87" i="1"/>
  <c r="I91" i="1"/>
  <c r="AE131" i="1" l="1"/>
  <c r="AD132" i="1"/>
  <c r="P89" i="1"/>
  <c r="Q88" i="1"/>
  <c r="I92" i="1"/>
  <c r="AE132" i="1" l="1"/>
  <c r="AD133" i="1"/>
  <c r="P90" i="1"/>
  <c r="Q89" i="1"/>
  <c r="I93" i="1"/>
  <c r="AE133" i="1" l="1"/>
  <c r="AD134" i="1"/>
  <c r="AE134" i="1" s="1"/>
  <c r="P91" i="1"/>
  <c r="Q90" i="1"/>
  <c r="I94" i="1"/>
  <c r="P92" i="1" l="1"/>
  <c r="Q91" i="1"/>
  <c r="I95" i="1"/>
  <c r="P93" i="1" l="1"/>
  <c r="Q92" i="1"/>
  <c r="I96" i="1"/>
  <c r="P94" i="1" l="1"/>
  <c r="Q93" i="1"/>
  <c r="I97" i="1"/>
  <c r="P95" i="1" l="1"/>
  <c r="Q94" i="1"/>
  <c r="I98" i="1"/>
  <c r="P96" i="1" l="1"/>
  <c r="Q95" i="1"/>
  <c r="I99" i="1"/>
  <c r="P97" i="1" l="1"/>
  <c r="Q96" i="1"/>
  <c r="I100" i="1"/>
  <c r="P98" i="1" l="1"/>
  <c r="Q97" i="1"/>
  <c r="I101" i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l="1"/>
  <c r="I121" i="1" s="1"/>
  <c r="P99" i="1"/>
  <c r="Q98" i="1"/>
  <c r="I122" i="1" l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P100" i="1"/>
  <c r="Q99" i="1"/>
  <c r="I133" i="1" l="1"/>
  <c r="I134" i="1" s="1"/>
  <c r="I135" i="1" s="1"/>
  <c r="P101" i="1"/>
  <c r="P102" i="1" s="1"/>
  <c r="P103" i="1" s="1"/>
  <c r="Q100" i="1"/>
  <c r="Q103" i="1" l="1"/>
  <c r="P104" i="1"/>
  <c r="Q102" i="1"/>
  <c r="Q101" i="1"/>
  <c r="P105" i="1" l="1"/>
  <c r="Q104" i="1"/>
  <c r="P106" i="1" l="1"/>
  <c r="Q105" i="1"/>
  <c r="P107" i="1" l="1"/>
  <c r="Q106" i="1"/>
  <c r="Q107" i="1" l="1"/>
  <c r="P108" i="1"/>
  <c r="Q108" i="1" l="1"/>
  <c r="P109" i="1"/>
  <c r="P110" i="1" l="1"/>
  <c r="Q109" i="1"/>
  <c r="P111" i="1" l="1"/>
  <c r="Q110" i="1"/>
  <c r="P112" i="1" l="1"/>
  <c r="Q111" i="1"/>
  <c r="P113" i="1" l="1"/>
  <c r="Q112" i="1"/>
  <c r="P114" i="1" l="1"/>
  <c r="Q113" i="1"/>
  <c r="Q114" i="1" l="1"/>
  <c r="P115" i="1"/>
  <c r="Q115" i="1" l="1"/>
  <c r="P116" i="1"/>
  <c r="Q116" i="1" l="1"/>
  <c r="P117" i="1"/>
  <c r="Q117" i="1" l="1"/>
  <c r="P118" i="1"/>
  <c r="U155" i="3"/>
  <c r="Q118" i="1" l="1"/>
  <c r="P119" i="1"/>
  <c r="P120" i="1" l="1"/>
  <c r="Q119" i="1"/>
  <c r="Q120" i="1" l="1"/>
  <c r="P121" i="1"/>
  <c r="P122" i="1" l="1"/>
  <c r="Q121" i="1"/>
  <c r="Q122" i="1" l="1"/>
  <c r="P123" i="1"/>
  <c r="Q123" i="1" l="1"/>
  <c r="P124" i="1"/>
  <c r="Q124" i="1" l="1"/>
  <c r="P125" i="1"/>
  <c r="Q125" i="1" l="1"/>
  <c r="P126" i="1"/>
  <c r="Q126" i="1" l="1"/>
  <c r="P127" i="1"/>
  <c r="Q127" i="1" l="1"/>
  <c r="P128" i="1"/>
  <c r="Q128" i="1" l="1"/>
  <c r="P129" i="1"/>
  <c r="Q129" i="1" l="1"/>
  <c r="P130" i="1"/>
  <c r="Q130" i="1" l="1"/>
  <c r="P131" i="1"/>
  <c r="Q131" i="1" l="1"/>
  <c r="P132" i="1"/>
  <c r="P133" i="1" l="1"/>
  <c r="Q132" i="1"/>
  <c r="Q133" i="1" l="1"/>
  <c r="P134" i="1"/>
  <c r="Q134" i="1" l="1"/>
  <c r="P135" i="1"/>
  <c r="Q135" i="1" s="1"/>
</calcChain>
</file>

<file path=xl/sharedStrings.xml><?xml version="1.0" encoding="utf-8"?>
<sst xmlns="http://schemas.openxmlformats.org/spreadsheetml/2006/main" count="595" uniqueCount="198">
  <si>
    <t>Distn</t>
  </si>
  <si>
    <t>Kg</t>
  </si>
  <si>
    <t>Food In</t>
  </si>
  <si>
    <t>Food Out</t>
  </si>
  <si>
    <t>Number fed</t>
  </si>
  <si>
    <t>Cumm</t>
  </si>
  <si>
    <t>Fuel Vouchers</t>
  </si>
  <si>
    <t>Cummulative</t>
  </si>
  <si>
    <t>Vouchers</t>
  </si>
  <si>
    <t>Adults</t>
  </si>
  <si>
    <t>Children</t>
  </si>
  <si>
    <t>People</t>
  </si>
  <si>
    <t>Value</t>
  </si>
  <si>
    <t>Food Only</t>
  </si>
  <si>
    <t>Foodbank</t>
  </si>
  <si>
    <t>Change from</t>
  </si>
  <si>
    <t>Points</t>
  </si>
  <si>
    <t>Food in</t>
  </si>
  <si>
    <t>Food out</t>
  </si>
  <si>
    <t>12 mth</t>
  </si>
  <si>
    <t>Stock Level</t>
  </si>
  <si>
    <t>In total</t>
  </si>
  <si>
    <t>Out Total</t>
  </si>
  <si>
    <t>Total</t>
  </si>
  <si>
    <t>3mth Ave</t>
  </si>
  <si>
    <t>12mth Ave</t>
  </si>
  <si>
    <t>kg/person</t>
  </si>
  <si>
    <t>Number</t>
  </si>
  <si>
    <t>Total People</t>
  </si>
  <si>
    <t>Value £</t>
  </si>
  <si>
    <t>12mth  £</t>
  </si>
  <si>
    <t>Fuel/Food</t>
  </si>
  <si>
    <t>previous year</t>
  </si>
  <si>
    <t>highest to date</t>
  </si>
  <si>
    <t>Incomplete Month</t>
  </si>
  <si>
    <t>FY 11/12</t>
  </si>
  <si>
    <t>1st Year</t>
  </si>
  <si>
    <t>FY 12/13</t>
  </si>
  <si>
    <t>2nd Year</t>
  </si>
  <si>
    <t>+1</t>
  </si>
  <si>
    <t>FY 13/14</t>
  </si>
  <si>
    <t>3rd Year</t>
  </si>
  <si>
    <t>FY 14/15</t>
  </si>
  <si>
    <t>Fuel Start</t>
  </si>
  <si>
    <t>4th Year</t>
  </si>
  <si>
    <t>+4</t>
  </si>
  <si>
    <t>FY 15/16</t>
  </si>
  <si>
    <t>5th Year</t>
  </si>
  <si>
    <t>FY 16/17</t>
  </si>
  <si>
    <t>6th Year</t>
  </si>
  <si>
    <t>FY 17/18</t>
  </si>
  <si>
    <t>7th Year</t>
  </si>
  <si>
    <t>FY 18/19</t>
  </si>
  <si>
    <t>8th Year</t>
  </si>
  <si>
    <t>FY 19/20</t>
  </si>
  <si>
    <t>9th Year</t>
  </si>
  <si>
    <t>FY 20/21</t>
  </si>
  <si>
    <t xml:space="preserve">10th Year </t>
  </si>
  <si>
    <t>Number of people fed by reason</t>
  </si>
  <si>
    <t>Benefit Changes</t>
  </si>
  <si>
    <t>Benefit Delays</t>
  </si>
  <si>
    <t>Child Holiday Meals</t>
  </si>
  <si>
    <t>Debt</t>
  </si>
  <si>
    <t>Delayed Wages</t>
  </si>
  <si>
    <t>Domestic Violence</t>
  </si>
  <si>
    <t>Homeless</t>
  </si>
  <si>
    <t>Low Income</t>
  </si>
  <si>
    <t>Other</t>
  </si>
  <si>
    <t>Refused Crisis Loan</t>
  </si>
  <si>
    <t>Sickness</t>
  </si>
  <si>
    <t>Unemployed</t>
  </si>
  <si>
    <t>Job Centre - Chester le Street [136]</t>
  </si>
  <si>
    <t>Job Centre Plus - Bish Auck [137]</t>
  </si>
  <si>
    <t>Job Centre Plus - Consett [138]</t>
  </si>
  <si>
    <t>Job Centre Plus - Durham [139]</t>
  </si>
  <si>
    <t>Job Centre Plus - Gateshead [140]</t>
  </si>
  <si>
    <t>Job Centre Plus - Newton Aycliffe [141]</t>
  </si>
  <si>
    <t>Job Centre Plus - Seaham [143]</t>
  </si>
  <si>
    <t>Job Centre Plus - Spennymoor [144]</t>
  </si>
  <si>
    <t>Job Centre Plus-Stanley [145]</t>
  </si>
  <si>
    <t>Jobcentre Plus - Crook</t>
  </si>
  <si>
    <t>Year</t>
  </si>
  <si>
    <t>J-M Total</t>
  </si>
  <si>
    <t>A-J Total</t>
  </si>
  <si>
    <t>J-S Total</t>
  </si>
  <si>
    <t>O-D Total</t>
  </si>
  <si>
    <t>Year 2015/16</t>
  </si>
  <si>
    <t>Job Centre Plus - Peterlee [142]</t>
  </si>
  <si>
    <t>Year 2016/17</t>
  </si>
  <si>
    <t>No recourse to public funds</t>
  </si>
  <si>
    <t>Refused Crisis Loan/STBA</t>
  </si>
  <si>
    <t>Year 2017/18</t>
  </si>
  <si>
    <t>Cross check</t>
  </si>
  <si>
    <t>Foodbank Use</t>
  </si>
  <si>
    <t>Change</t>
  </si>
  <si>
    <t>Fuelbank Use</t>
  </si>
  <si>
    <t>**August 19 Figures will rise as vouchers are uploaded to database</t>
  </si>
  <si>
    <t>2508 (63.49%)</t>
  </si>
  <si>
    <t>1442 (36.51%)</t>
  </si>
  <si>
    <t>3324 (67.14%)</t>
  </si>
  <si>
    <t>1627 (32.86%)</t>
  </si>
  <si>
    <t>26 (41.27%)</t>
  </si>
  <si>
    <t>37 (58.73%)</t>
  </si>
  <si>
    <t>682 (65.01%)</t>
  </si>
  <si>
    <t>367 (34.99%)</t>
  </si>
  <si>
    <t>120 (60.91%)</t>
  </si>
  <si>
    <t>77 (39.09%)</t>
  </si>
  <si>
    <t>105 (48.39%)</t>
  </si>
  <si>
    <t>112 (51.61%)</t>
  </si>
  <si>
    <t>357 (83.22%)</t>
  </si>
  <si>
    <t>72 (16.78%)</t>
  </si>
  <si>
    <t>2472 (66.92%)</t>
  </si>
  <si>
    <t>1222 (33.08%)</t>
  </si>
  <si>
    <t>11 (78.57%)</t>
  </si>
  <si>
    <t>3 (21.43%)</t>
  </si>
  <si>
    <t>924 (67.05%)</t>
  </si>
  <si>
    <t>454 (32.95%)</t>
  </si>
  <si>
    <t>Refused STBA</t>
  </si>
  <si>
    <t>3 (60%)</t>
  </si>
  <si>
    <t>2 (40%)</t>
  </si>
  <si>
    <t>249 (69.55%)</t>
  </si>
  <si>
    <t>109 (30.45%)</t>
  </si>
  <si>
    <t>148 (62.98%)</t>
  </si>
  <si>
    <t>87 (37.02%)</t>
  </si>
  <si>
    <t>3152 (64.43%)</t>
  </si>
  <si>
    <t>1740 (35.57%)</t>
  </si>
  <si>
    <t>2950 (68.94%)</t>
  </si>
  <si>
    <t>1329 (31.06%)</t>
  </si>
  <si>
    <t>21 (53.85%)</t>
  </si>
  <si>
    <t>18 (46.15%)</t>
  </si>
  <si>
    <t>1016 (64.1%)</t>
  </si>
  <si>
    <t>569 (35.9%)</t>
  </si>
  <si>
    <t>96 (64.43%)</t>
  </si>
  <si>
    <t>53 (35.57%)</t>
  </si>
  <si>
    <t>125 (46.99%)</t>
  </si>
  <si>
    <t>141 (53.01%)</t>
  </si>
  <si>
    <t>267 (84.76%)</t>
  </si>
  <si>
    <t>48 (15.24%)</t>
  </si>
  <si>
    <t>2851 (67.05%)</t>
  </si>
  <si>
    <t>1401 (32.95%)</t>
  </si>
  <si>
    <t>33 (62.26%)</t>
  </si>
  <si>
    <t>20 (37.74%)</t>
  </si>
  <si>
    <t>845 (65.86%)</t>
  </si>
  <si>
    <t>438 (34.14%)</t>
  </si>
  <si>
    <t>24 (58.54%)</t>
  </si>
  <si>
    <t>17 (41.46%)</t>
  </si>
  <si>
    <t>274 (73.26%)</t>
  </si>
  <si>
    <t>100 (26.74%)</t>
  </si>
  <si>
    <t>3361 (62.55%)</t>
  </si>
  <si>
    <t>2012 (37.45%)</t>
  </si>
  <si>
    <t>2320 (69.05%)</t>
  </si>
  <si>
    <t>1040 (30.95%)</t>
  </si>
  <si>
    <t>35 (48.61%)</t>
  </si>
  <si>
    <t>37 (51.39%)</t>
  </si>
  <si>
    <t>1145 (63.36%)</t>
  </si>
  <si>
    <t>662 (36.64%)</t>
  </si>
  <si>
    <t>86 (61.43%)</t>
  </si>
  <si>
    <t>54 (38.57%)</t>
  </si>
  <si>
    <t>130 (48.69%)</t>
  </si>
  <si>
    <t>137 (51.31%)</t>
  </si>
  <si>
    <t>390 (79.43%)</t>
  </si>
  <si>
    <t>101 (20.57%)</t>
  </si>
  <si>
    <t>3444 (65.08%)</t>
  </si>
  <si>
    <t>1848 (34.92%)</t>
  </si>
  <si>
    <t>66 (72.53%)</t>
  </si>
  <si>
    <t>25 (27.47%)</t>
  </si>
  <si>
    <t>844 (64.97%)</t>
  </si>
  <si>
    <t>455 (35.03%)</t>
  </si>
  <si>
    <t>16 (72.73%)</t>
  </si>
  <si>
    <t>6 (27.27%)</t>
  </si>
  <si>
    <t>311 (67.32%)</t>
  </si>
  <si>
    <t>151 (32.68%)</t>
  </si>
  <si>
    <t>2284 (58.4%)</t>
  </si>
  <si>
    <t>1627 (41.6%)</t>
  </si>
  <si>
    <t>1842 (65%)</t>
  </si>
  <si>
    <t>992 (35%)</t>
  </si>
  <si>
    <t>65 (32.66%)</t>
  </si>
  <si>
    <t>134 (67.34%)</t>
  </si>
  <si>
    <t>1511 (62.91%)</t>
  </si>
  <si>
    <t>891 (37.09%)</t>
  </si>
  <si>
    <t>91 (49.46%)</t>
  </si>
  <si>
    <t>93 (50.54%)</t>
  </si>
  <si>
    <t>209 (50.48%)</t>
  </si>
  <si>
    <t>205 (49.52%)</t>
  </si>
  <si>
    <t>413 (82.11%)</t>
  </si>
  <si>
    <t>90 (17.89%)</t>
  </si>
  <si>
    <t>4408 (65.13%)</t>
  </si>
  <si>
    <t>2360 (34.87%)</t>
  </si>
  <si>
    <t>72 (52.17%)</t>
  </si>
  <si>
    <t>66 (47.83%)</t>
  </si>
  <si>
    <t>945 (62.21%)</t>
  </si>
  <si>
    <t>574 (37.79%)</t>
  </si>
  <si>
    <t>7 (87.5%)</t>
  </si>
  <si>
    <t>1 (12.5%)</t>
  </si>
  <si>
    <t>413 (70.24%)</t>
  </si>
  <si>
    <t>175 (29.76%)</t>
  </si>
  <si>
    <t>12 Month Rolling Averages</t>
  </si>
  <si>
    <t>per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</si>
</sst>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_(* #,##0_);_(* \(#,##0\);_(* &quot;-&quot;??_);_(@_)"/>
  </numFmts>
  <fonts count="2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4"/>
      <color indexed="8"/>
      <name val="Arial"/>
      <family val="2"/>
    </font>
    <font>
      <b/>
      <sz val="10"/>
      <color rgb="FF0070C0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03">
    <xf numFmtId="0" fontId="0" fillId="0" borderId="0" xfId="0"/>
    <xf numFmtId="17" fontId="0" fillId="0" borderId="0" xfId="0" applyNumberFormat="1"/>
    <xf numFmtId="15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5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9" fontId="0" fillId="0" borderId="0" xfId="0" applyNumberFormat="1"/>
    <xf numFmtId="0" fontId="6" fillId="0" borderId="0" xfId="0" applyFont="1"/>
    <xf numFmtId="0" fontId="7" fillId="0" borderId="0" xfId="0" applyFont="1"/>
    <xf numFmtId="1" fontId="2" fillId="0" borderId="0" xfId="0" applyNumberFormat="1" applyFont="1"/>
    <xf numFmtId="1" fontId="0" fillId="2" borderId="0" xfId="0" applyNumberFormat="1" applyFill="1"/>
    <xf numFmtId="0" fontId="0" fillId="2" borderId="0" xfId="0" applyFill="1"/>
    <xf numFmtId="1" fontId="8" fillId="0" borderId="0" xfId="0" applyNumberFormat="1" applyFont="1"/>
    <xf numFmtId="0" fontId="8" fillId="0" borderId="0" xfId="0" applyFont="1" applyAlignment="1">
      <alignment horizontal="left"/>
    </xf>
    <xf numFmtId="1" fontId="9" fillId="0" borderId="0" xfId="0" applyNumberFormat="1" applyFont="1"/>
    <xf numFmtId="0" fontId="9" fillId="0" borderId="0" xfId="0" applyFont="1" applyAlignment="1">
      <alignment horizontal="left"/>
    </xf>
    <xf numFmtId="1" fontId="10" fillId="0" borderId="0" xfId="0" applyNumberFormat="1" applyFont="1"/>
    <xf numFmtId="0" fontId="10" fillId="0" borderId="0" xfId="0" applyFont="1" applyAlignment="1">
      <alignment horizontal="left"/>
    </xf>
    <xf numFmtId="10" fontId="0" fillId="0" borderId="0" xfId="0" applyNumberFormat="1"/>
    <xf numFmtId="0" fontId="0" fillId="3" borderId="0" xfId="0" applyFill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9" fontId="0" fillId="0" borderId="0" xfId="1" applyFont="1"/>
    <xf numFmtId="1" fontId="12" fillId="0" borderId="0" xfId="0" applyNumberFormat="1" applyFont="1"/>
    <xf numFmtId="0" fontId="13" fillId="4" borderId="0" xfId="0" applyFont="1" applyFill="1" applyAlignment="1">
      <alignment vertical="top" wrapText="1"/>
    </xf>
    <xf numFmtId="0" fontId="0" fillId="0" borderId="2" xfId="0" applyBorder="1" applyAlignment="1">
      <alignment horizontal="left"/>
    </xf>
    <xf numFmtId="0" fontId="0" fillId="0" borderId="3" xfId="0" applyBorder="1"/>
    <xf numFmtId="2" fontId="0" fillId="0" borderId="0" xfId="0" applyNumberFormat="1"/>
    <xf numFmtId="0" fontId="0" fillId="0" borderId="0" xfId="0" applyAlignment="1">
      <alignment vertical="center" wrapText="1"/>
    </xf>
    <xf numFmtId="1" fontId="14" fillId="0" borderId="0" xfId="0" applyNumberFormat="1" applyFont="1"/>
    <xf numFmtId="2" fontId="2" fillId="0" borderId="0" xfId="0" applyNumberFormat="1" applyFont="1" applyAlignment="1">
      <alignment horizontal="right"/>
    </xf>
    <xf numFmtId="164" fontId="0" fillId="5" borderId="0" xfId="0" applyNumberFormat="1" applyFill="1"/>
    <xf numFmtId="0" fontId="2" fillId="0" borderId="0" xfId="0" applyFont="1" applyAlignment="1">
      <alignment horizontal="left"/>
    </xf>
    <xf numFmtId="9" fontId="0" fillId="0" borderId="0" xfId="1" applyFont="1" applyFill="1"/>
    <xf numFmtId="0" fontId="0" fillId="0" borderId="0" xfId="0" quotePrefix="1" applyAlignment="1">
      <alignment horizontal="left"/>
    </xf>
    <xf numFmtId="1" fontId="15" fillId="0" borderId="0" xfId="0" applyNumberFormat="1" applyFont="1"/>
    <xf numFmtId="0" fontId="0" fillId="6" borderId="0" xfId="0" applyFill="1"/>
    <xf numFmtId="1" fontId="16" fillId="0" borderId="0" xfId="0" applyNumberFormat="1" applyFont="1"/>
    <xf numFmtId="1" fontId="0" fillId="8" borderId="0" xfId="0" applyNumberFormat="1" applyFill="1"/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7" fontId="3" fillId="0" borderId="0" xfId="0" applyNumberFormat="1" applyFont="1" applyAlignment="1">
      <alignment horizontal="center"/>
    </xf>
    <xf numFmtId="1" fontId="0" fillId="8" borderId="0" xfId="0" applyNumberFormat="1" applyFill="1" applyAlignment="1">
      <alignment horizontal="center"/>
    </xf>
    <xf numFmtId="1" fontId="17" fillId="0" borderId="0" xfId="0" applyNumberFormat="1" applyFont="1"/>
    <xf numFmtId="166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9" fontId="0" fillId="0" borderId="4" xfId="1" applyFont="1" applyBorder="1"/>
    <xf numFmtId="0" fontId="0" fillId="0" borderId="6" xfId="0" applyBorder="1"/>
    <xf numFmtId="9" fontId="0" fillId="0" borderId="6" xfId="1" applyFont="1" applyBorder="1"/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1" applyNumberFormat="1" applyFont="1" applyBorder="1"/>
    <xf numFmtId="165" fontId="0" fillId="0" borderId="6" xfId="1" applyNumberFormat="1" applyFont="1" applyBorder="1"/>
    <xf numFmtId="1" fontId="17" fillId="9" borderId="0" xfId="0" applyNumberFormat="1" applyFont="1" applyFill="1"/>
    <xf numFmtId="0" fontId="0" fillId="10" borderId="0" xfId="0" applyFill="1"/>
    <xf numFmtId="0" fontId="0" fillId="9" borderId="0" xfId="0" applyFill="1"/>
    <xf numFmtId="1" fontId="0" fillId="9" borderId="0" xfId="0" applyNumberFormat="1" applyFill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" xfId="0" applyFont="1" applyBorder="1"/>
    <xf numFmtId="2" fontId="19" fillId="0" borderId="0" xfId="0" applyNumberFormat="1" applyFont="1" applyAlignment="1">
      <alignment horizontal="right"/>
    </xf>
    <xf numFmtId="167" fontId="0" fillId="0" borderId="0" xfId="2" applyNumberFormat="1" applyFont="1"/>
    <xf numFmtId="167" fontId="0" fillId="0" borderId="0" xfId="2" applyNumberFormat="1" applyFont="1" applyAlignment="1">
      <alignment horizontal="center" vertical="center"/>
    </xf>
    <xf numFmtId="167" fontId="2" fillId="0" borderId="0" xfId="2" applyNumberFormat="1" applyFont="1"/>
    <xf numFmtId="2" fontId="2" fillId="0" borderId="0" xfId="0" quotePrefix="1" applyNumberFormat="1" applyFont="1" applyAlignment="1">
      <alignment horizontal="right"/>
    </xf>
    <xf numFmtId="43" fontId="0" fillId="0" borderId="0" xfId="2" applyFont="1"/>
    <xf numFmtId="167" fontId="0" fillId="0" borderId="0" xfId="0" applyNumberFormat="1"/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Food Movements in/out</a:t>
            </a:r>
          </a:p>
        </c:rich>
      </c:tx>
      <c:layout>
        <c:manualLayout>
          <c:xMode val="edge"/>
          <c:yMode val="edge"/>
          <c:x val="0.31423911012186173"/>
          <c:y val="4.1055750384143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70181791867897"/>
          <c:y val="0.14164137307633629"/>
          <c:w val="0.83648928105798248"/>
          <c:h val="0.6673303290387631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Stats'!$C$2</c:f>
              <c:strCache>
                <c:ptCount val="1"/>
                <c:pt idx="0">
                  <c:v>Food in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Stats'!$C$3:$C$135</c:f>
              <c:numCache>
                <c:formatCode>General</c:formatCode>
                <c:ptCount val="133"/>
                <c:pt idx="0">
                  <c:v>1919</c:v>
                </c:pt>
                <c:pt idx="1">
                  <c:v>1990</c:v>
                </c:pt>
                <c:pt idx="2">
                  <c:v>2416</c:v>
                </c:pt>
                <c:pt idx="3">
                  <c:v>483</c:v>
                </c:pt>
                <c:pt idx="4">
                  <c:v>273</c:v>
                </c:pt>
                <c:pt idx="5">
                  <c:v>1204</c:v>
                </c:pt>
                <c:pt idx="6">
                  <c:v>2908</c:v>
                </c:pt>
                <c:pt idx="7">
                  <c:v>1882</c:v>
                </c:pt>
                <c:pt idx="8">
                  <c:v>1901</c:v>
                </c:pt>
                <c:pt idx="9">
                  <c:v>2057</c:v>
                </c:pt>
                <c:pt idx="10">
                  <c:v>3644</c:v>
                </c:pt>
                <c:pt idx="11">
                  <c:v>3668</c:v>
                </c:pt>
                <c:pt idx="12">
                  <c:v>3067</c:v>
                </c:pt>
                <c:pt idx="13">
                  <c:v>10796</c:v>
                </c:pt>
                <c:pt idx="14">
                  <c:v>5911</c:v>
                </c:pt>
                <c:pt idx="15">
                  <c:v>9416</c:v>
                </c:pt>
                <c:pt idx="16">
                  <c:v>3126</c:v>
                </c:pt>
                <c:pt idx="17">
                  <c:v>4345</c:v>
                </c:pt>
                <c:pt idx="18">
                  <c:v>4676</c:v>
                </c:pt>
                <c:pt idx="19">
                  <c:v>6188</c:v>
                </c:pt>
                <c:pt idx="20">
                  <c:v>8281</c:v>
                </c:pt>
                <c:pt idx="21">
                  <c:v>5477</c:v>
                </c:pt>
                <c:pt idx="22">
                  <c:v>9479</c:v>
                </c:pt>
                <c:pt idx="23">
                  <c:v>8514</c:v>
                </c:pt>
                <c:pt idx="24">
                  <c:v>5903</c:v>
                </c:pt>
                <c:pt idx="25">
                  <c:v>13965</c:v>
                </c:pt>
                <c:pt idx="26">
                  <c:v>7420</c:v>
                </c:pt>
                <c:pt idx="27">
                  <c:v>16185</c:v>
                </c:pt>
                <c:pt idx="28">
                  <c:v>5398</c:v>
                </c:pt>
                <c:pt idx="29">
                  <c:v>8584</c:v>
                </c:pt>
                <c:pt idx="30">
                  <c:v>7526</c:v>
                </c:pt>
                <c:pt idx="31">
                  <c:v>7748</c:v>
                </c:pt>
                <c:pt idx="32">
                  <c:v>7687</c:v>
                </c:pt>
                <c:pt idx="33">
                  <c:v>6321</c:v>
                </c:pt>
                <c:pt idx="34">
                  <c:v>11349</c:v>
                </c:pt>
                <c:pt idx="35">
                  <c:v>5898</c:v>
                </c:pt>
                <c:pt idx="36">
                  <c:v>7708</c:v>
                </c:pt>
                <c:pt idx="37">
                  <c:v>15297</c:v>
                </c:pt>
                <c:pt idx="38">
                  <c:v>16193</c:v>
                </c:pt>
                <c:pt idx="39">
                  <c:v>8910</c:v>
                </c:pt>
                <c:pt idx="40">
                  <c:v>9793</c:v>
                </c:pt>
                <c:pt idx="41">
                  <c:v>6812</c:v>
                </c:pt>
                <c:pt idx="42">
                  <c:v>8503</c:v>
                </c:pt>
                <c:pt idx="43">
                  <c:v>6040</c:v>
                </c:pt>
                <c:pt idx="44">
                  <c:v>8293</c:v>
                </c:pt>
                <c:pt idx="45">
                  <c:v>5815</c:v>
                </c:pt>
                <c:pt idx="46">
                  <c:v>15224</c:v>
                </c:pt>
                <c:pt idx="47">
                  <c:v>5226</c:v>
                </c:pt>
                <c:pt idx="48">
                  <c:v>6553</c:v>
                </c:pt>
                <c:pt idx="49">
                  <c:v>15414</c:v>
                </c:pt>
                <c:pt idx="50">
                  <c:v>6902</c:v>
                </c:pt>
                <c:pt idx="51">
                  <c:v>20827</c:v>
                </c:pt>
                <c:pt idx="52">
                  <c:v>4930</c:v>
                </c:pt>
                <c:pt idx="53">
                  <c:v>4872</c:v>
                </c:pt>
                <c:pt idx="54">
                  <c:v>10173</c:v>
                </c:pt>
                <c:pt idx="55">
                  <c:v>6658</c:v>
                </c:pt>
                <c:pt idx="56">
                  <c:v>5117</c:v>
                </c:pt>
                <c:pt idx="57">
                  <c:v>11633</c:v>
                </c:pt>
                <c:pt idx="58">
                  <c:v>16353</c:v>
                </c:pt>
                <c:pt idx="59">
                  <c:v>3588</c:v>
                </c:pt>
                <c:pt idx="60">
                  <c:v>7204</c:v>
                </c:pt>
                <c:pt idx="61">
                  <c:v>14127</c:v>
                </c:pt>
                <c:pt idx="62">
                  <c:v>9623</c:v>
                </c:pt>
                <c:pt idx="63">
                  <c:v>28542</c:v>
                </c:pt>
                <c:pt idx="64">
                  <c:v>8127</c:v>
                </c:pt>
                <c:pt idx="65">
                  <c:v>7046</c:v>
                </c:pt>
                <c:pt idx="66">
                  <c:v>8679</c:v>
                </c:pt>
                <c:pt idx="67">
                  <c:v>5245</c:v>
                </c:pt>
                <c:pt idx="68">
                  <c:v>8995</c:v>
                </c:pt>
                <c:pt idx="69">
                  <c:v>7400</c:v>
                </c:pt>
                <c:pt idx="70">
                  <c:v>10351</c:v>
                </c:pt>
                <c:pt idx="71">
                  <c:v>12183</c:v>
                </c:pt>
                <c:pt idx="72">
                  <c:v>10210</c:v>
                </c:pt>
                <c:pt idx="73">
                  <c:v>22726</c:v>
                </c:pt>
                <c:pt idx="74">
                  <c:v>25915</c:v>
                </c:pt>
                <c:pt idx="75">
                  <c:v>23686</c:v>
                </c:pt>
                <c:pt idx="76">
                  <c:v>11151</c:v>
                </c:pt>
                <c:pt idx="77">
                  <c:v>6928</c:v>
                </c:pt>
                <c:pt idx="78">
                  <c:v>7969</c:v>
                </c:pt>
                <c:pt idx="79">
                  <c:v>7043</c:v>
                </c:pt>
                <c:pt idx="80">
                  <c:v>7206</c:v>
                </c:pt>
                <c:pt idx="81">
                  <c:v>6552</c:v>
                </c:pt>
                <c:pt idx="82">
                  <c:v>12520</c:v>
                </c:pt>
                <c:pt idx="83">
                  <c:v>10533</c:v>
                </c:pt>
                <c:pt idx="84">
                  <c:v>8257</c:v>
                </c:pt>
                <c:pt idx="85">
                  <c:v>20767</c:v>
                </c:pt>
                <c:pt idx="86">
                  <c:v>15502</c:v>
                </c:pt>
                <c:pt idx="87">
                  <c:v>43476</c:v>
                </c:pt>
                <c:pt idx="88">
                  <c:v>13173</c:v>
                </c:pt>
                <c:pt idx="89">
                  <c:v>11468</c:v>
                </c:pt>
                <c:pt idx="90">
                  <c:v>10519</c:v>
                </c:pt>
                <c:pt idx="91">
                  <c:v>10077</c:v>
                </c:pt>
                <c:pt idx="92">
                  <c:v>8342</c:v>
                </c:pt>
                <c:pt idx="93">
                  <c:v>9153</c:v>
                </c:pt>
                <c:pt idx="94">
                  <c:v>11481</c:v>
                </c:pt>
                <c:pt idx="95">
                  <c:v>8185</c:v>
                </c:pt>
                <c:pt idx="96">
                  <c:v>11871</c:v>
                </c:pt>
                <c:pt idx="97">
                  <c:v>21501</c:v>
                </c:pt>
                <c:pt idx="98">
                  <c:v>24880</c:v>
                </c:pt>
                <c:pt idx="99">
                  <c:v>35734</c:v>
                </c:pt>
                <c:pt idx="100" formatCode="0">
                  <c:v>14205.01</c:v>
                </c:pt>
                <c:pt idx="101" formatCode="0">
                  <c:v>9122.2999999999993</c:v>
                </c:pt>
                <c:pt idx="102" formatCode="0">
                  <c:v>12907.84</c:v>
                </c:pt>
                <c:pt idx="103" formatCode="0">
                  <c:v>19439.63</c:v>
                </c:pt>
                <c:pt idx="104" formatCode="0">
                  <c:v>22078.93</c:v>
                </c:pt>
                <c:pt idx="105" formatCode="0">
                  <c:v>24236.18</c:v>
                </c:pt>
                <c:pt idx="106" formatCode="0">
                  <c:v>15980.95</c:v>
                </c:pt>
                <c:pt idx="107" formatCode="0">
                  <c:v>7865.19</c:v>
                </c:pt>
                <c:pt idx="108" formatCode="0">
                  <c:v>10923.56</c:v>
                </c:pt>
                <c:pt idx="109" formatCode="0">
                  <c:v>17610.98</c:v>
                </c:pt>
                <c:pt idx="110" formatCode="0">
                  <c:v>21991.67</c:v>
                </c:pt>
                <c:pt idx="111" formatCode="0">
                  <c:v>31515.95</c:v>
                </c:pt>
                <c:pt idx="112" formatCode="0">
                  <c:v>15636.51</c:v>
                </c:pt>
                <c:pt idx="113" formatCode="0">
                  <c:v>13926.64</c:v>
                </c:pt>
                <c:pt idx="114" formatCode="0">
                  <c:v>18111.240000000002</c:v>
                </c:pt>
                <c:pt idx="115" formatCode="0">
                  <c:v>12580.41</c:v>
                </c:pt>
                <c:pt idx="116" formatCode="0">
                  <c:v>11072.07</c:v>
                </c:pt>
                <c:pt idx="117" formatCode="0">
                  <c:v>10266.86</c:v>
                </c:pt>
                <c:pt idx="118" formatCode="0">
                  <c:v>10780.69</c:v>
                </c:pt>
                <c:pt idx="119" formatCode="0">
                  <c:v>11054.62</c:v>
                </c:pt>
                <c:pt idx="120" formatCode="0">
                  <c:v>13176.26</c:v>
                </c:pt>
                <c:pt idx="121" formatCode="0">
                  <c:v>18090.63</c:v>
                </c:pt>
                <c:pt idx="122" formatCode="0">
                  <c:v>18638.11</c:v>
                </c:pt>
                <c:pt idx="123" formatCode="0">
                  <c:v>28089.97</c:v>
                </c:pt>
                <c:pt idx="124" formatCode="0">
                  <c:v>12475.96</c:v>
                </c:pt>
                <c:pt idx="125" formatCode="0">
                  <c:v>15115.35</c:v>
                </c:pt>
                <c:pt idx="126" formatCode="0">
                  <c:v>15084.53</c:v>
                </c:pt>
                <c:pt idx="127" formatCode="0">
                  <c:v>11601.05</c:v>
                </c:pt>
                <c:pt idx="128" formatCode="0">
                  <c:v>12592.57</c:v>
                </c:pt>
                <c:pt idx="129" formatCode="0">
                  <c:v>10963.23</c:v>
                </c:pt>
                <c:pt idx="130" formatCode="0">
                  <c:v>17056.77</c:v>
                </c:pt>
                <c:pt idx="131" formatCode="0">
                  <c:v>13336.78</c:v>
                </c:pt>
                <c:pt idx="132" formatCode="0">
                  <c:v>25554.48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1-455D-A3B6-C64D5B703973}"/>
            </c:ext>
          </c:extLst>
        </c:ser>
        <c:ser>
          <c:idx val="1"/>
          <c:order val="1"/>
          <c:tx>
            <c:strRef>
              <c:f>'Monthly Stats'!$D$2</c:f>
              <c:strCache>
                <c:ptCount val="1"/>
                <c:pt idx="0">
                  <c:v>Food out</c:v>
                </c:pt>
              </c:strCache>
            </c:strRef>
          </c:tx>
          <c:spPr>
            <a:ln w="38100">
              <a:solidFill>
                <a:srgbClr val="FF0000">
                  <a:alpha val="96000"/>
                </a:srgbClr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Stats'!$D$3:$D$135</c:f>
              <c:numCache>
                <c:formatCode>General</c:formatCode>
                <c:ptCount val="133"/>
                <c:pt idx="0">
                  <c:v>42</c:v>
                </c:pt>
                <c:pt idx="1">
                  <c:v>587</c:v>
                </c:pt>
                <c:pt idx="2">
                  <c:v>482</c:v>
                </c:pt>
                <c:pt idx="3">
                  <c:v>2250</c:v>
                </c:pt>
                <c:pt idx="4">
                  <c:v>1014</c:v>
                </c:pt>
                <c:pt idx="5">
                  <c:v>1234</c:v>
                </c:pt>
                <c:pt idx="6">
                  <c:v>2639</c:v>
                </c:pt>
                <c:pt idx="7">
                  <c:v>2487</c:v>
                </c:pt>
                <c:pt idx="8">
                  <c:v>2304</c:v>
                </c:pt>
                <c:pt idx="9">
                  <c:v>2768</c:v>
                </c:pt>
                <c:pt idx="10">
                  <c:v>3537</c:v>
                </c:pt>
                <c:pt idx="11">
                  <c:v>3384</c:v>
                </c:pt>
                <c:pt idx="12">
                  <c:v>3851</c:v>
                </c:pt>
                <c:pt idx="13">
                  <c:v>3435</c:v>
                </c:pt>
                <c:pt idx="14">
                  <c:v>5099</c:v>
                </c:pt>
                <c:pt idx="15">
                  <c:v>7110</c:v>
                </c:pt>
                <c:pt idx="16">
                  <c:v>5068</c:v>
                </c:pt>
                <c:pt idx="17">
                  <c:v>6087</c:v>
                </c:pt>
                <c:pt idx="18">
                  <c:v>6683</c:v>
                </c:pt>
                <c:pt idx="19">
                  <c:v>6990</c:v>
                </c:pt>
                <c:pt idx="20">
                  <c:v>8913</c:v>
                </c:pt>
                <c:pt idx="21">
                  <c:v>7572</c:v>
                </c:pt>
                <c:pt idx="22">
                  <c:v>7131</c:v>
                </c:pt>
                <c:pt idx="23">
                  <c:v>7487</c:v>
                </c:pt>
                <c:pt idx="24">
                  <c:v>7437</c:v>
                </c:pt>
                <c:pt idx="25">
                  <c:v>8602</c:v>
                </c:pt>
                <c:pt idx="26">
                  <c:v>8969</c:v>
                </c:pt>
                <c:pt idx="27">
                  <c:v>8528</c:v>
                </c:pt>
                <c:pt idx="28">
                  <c:v>9087</c:v>
                </c:pt>
                <c:pt idx="29">
                  <c:v>8005</c:v>
                </c:pt>
                <c:pt idx="30">
                  <c:v>8619</c:v>
                </c:pt>
                <c:pt idx="31">
                  <c:v>9386</c:v>
                </c:pt>
                <c:pt idx="32">
                  <c:v>7845</c:v>
                </c:pt>
                <c:pt idx="33">
                  <c:v>5764</c:v>
                </c:pt>
                <c:pt idx="34">
                  <c:v>8833</c:v>
                </c:pt>
                <c:pt idx="35">
                  <c:v>7647</c:v>
                </c:pt>
                <c:pt idx="36">
                  <c:v>7849</c:v>
                </c:pt>
                <c:pt idx="37">
                  <c:v>9445</c:v>
                </c:pt>
                <c:pt idx="38">
                  <c:v>8728</c:v>
                </c:pt>
                <c:pt idx="39">
                  <c:v>12356</c:v>
                </c:pt>
                <c:pt idx="40">
                  <c:v>8633</c:v>
                </c:pt>
                <c:pt idx="41">
                  <c:v>6829</c:v>
                </c:pt>
                <c:pt idx="42">
                  <c:v>13057</c:v>
                </c:pt>
                <c:pt idx="43">
                  <c:v>9493</c:v>
                </c:pt>
                <c:pt idx="44">
                  <c:v>7002</c:v>
                </c:pt>
                <c:pt idx="45">
                  <c:v>9976</c:v>
                </c:pt>
                <c:pt idx="46">
                  <c:v>10403</c:v>
                </c:pt>
                <c:pt idx="47">
                  <c:v>8201</c:v>
                </c:pt>
                <c:pt idx="48">
                  <c:v>12727</c:v>
                </c:pt>
                <c:pt idx="49">
                  <c:v>11908</c:v>
                </c:pt>
                <c:pt idx="50">
                  <c:v>8721</c:v>
                </c:pt>
                <c:pt idx="51">
                  <c:v>14898</c:v>
                </c:pt>
                <c:pt idx="52">
                  <c:v>8758</c:v>
                </c:pt>
                <c:pt idx="53">
                  <c:v>10144</c:v>
                </c:pt>
                <c:pt idx="54">
                  <c:v>10612</c:v>
                </c:pt>
                <c:pt idx="55">
                  <c:v>7266</c:v>
                </c:pt>
                <c:pt idx="56">
                  <c:v>6779</c:v>
                </c:pt>
                <c:pt idx="57">
                  <c:v>6418</c:v>
                </c:pt>
                <c:pt idx="58">
                  <c:v>8893</c:v>
                </c:pt>
                <c:pt idx="59">
                  <c:v>6379</c:v>
                </c:pt>
                <c:pt idx="60">
                  <c:v>8617</c:v>
                </c:pt>
                <c:pt idx="61">
                  <c:v>6870</c:v>
                </c:pt>
                <c:pt idx="62">
                  <c:v>10869</c:v>
                </c:pt>
                <c:pt idx="63">
                  <c:v>15330</c:v>
                </c:pt>
                <c:pt idx="64">
                  <c:v>8588</c:v>
                </c:pt>
                <c:pt idx="65">
                  <c:v>10254</c:v>
                </c:pt>
                <c:pt idx="66">
                  <c:v>12662</c:v>
                </c:pt>
                <c:pt idx="67">
                  <c:v>7486</c:v>
                </c:pt>
                <c:pt idx="68">
                  <c:v>9827</c:v>
                </c:pt>
                <c:pt idx="69">
                  <c:v>7876</c:v>
                </c:pt>
                <c:pt idx="70">
                  <c:v>12438</c:v>
                </c:pt>
                <c:pt idx="71">
                  <c:v>8798</c:v>
                </c:pt>
                <c:pt idx="72">
                  <c:v>8193</c:v>
                </c:pt>
                <c:pt idx="73">
                  <c:v>13538</c:v>
                </c:pt>
                <c:pt idx="74">
                  <c:v>20660</c:v>
                </c:pt>
                <c:pt idx="75">
                  <c:v>15583</c:v>
                </c:pt>
                <c:pt idx="76">
                  <c:v>12436</c:v>
                </c:pt>
                <c:pt idx="77">
                  <c:v>8183</c:v>
                </c:pt>
                <c:pt idx="78">
                  <c:v>12647</c:v>
                </c:pt>
                <c:pt idx="79">
                  <c:v>9951</c:v>
                </c:pt>
                <c:pt idx="80">
                  <c:v>9771</c:v>
                </c:pt>
                <c:pt idx="81">
                  <c:v>10266</c:v>
                </c:pt>
                <c:pt idx="82">
                  <c:v>11672</c:v>
                </c:pt>
                <c:pt idx="83">
                  <c:v>11438</c:v>
                </c:pt>
                <c:pt idx="84">
                  <c:v>12540</c:v>
                </c:pt>
                <c:pt idx="85">
                  <c:v>16084</c:v>
                </c:pt>
                <c:pt idx="86">
                  <c:v>16128</c:v>
                </c:pt>
                <c:pt idx="87">
                  <c:v>26040</c:v>
                </c:pt>
                <c:pt idx="88">
                  <c:v>15822</c:v>
                </c:pt>
                <c:pt idx="89">
                  <c:v>15687</c:v>
                </c:pt>
                <c:pt idx="90">
                  <c:v>12079</c:v>
                </c:pt>
                <c:pt idx="91">
                  <c:v>14667</c:v>
                </c:pt>
                <c:pt idx="92">
                  <c:v>11263</c:v>
                </c:pt>
                <c:pt idx="93">
                  <c:v>11719</c:v>
                </c:pt>
                <c:pt idx="94">
                  <c:v>15157</c:v>
                </c:pt>
                <c:pt idx="95">
                  <c:v>10283</c:v>
                </c:pt>
                <c:pt idx="96">
                  <c:v>10408</c:v>
                </c:pt>
                <c:pt idx="97">
                  <c:v>16811</c:v>
                </c:pt>
                <c:pt idx="98">
                  <c:v>14427</c:v>
                </c:pt>
                <c:pt idx="99">
                  <c:v>16042</c:v>
                </c:pt>
                <c:pt idx="100" formatCode="0">
                  <c:v>16704.8</c:v>
                </c:pt>
                <c:pt idx="101" formatCode="0">
                  <c:v>11838.35</c:v>
                </c:pt>
                <c:pt idx="102" formatCode="0">
                  <c:v>14587.82</c:v>
                </c:pt>
                <c:pt idx="103" formatCode="0">
                  <c:v>25324.41</c:v>
                </c:pt>
                <c:pt idx="104" formatCode="0">
                  <c:v>15777.18</c:v>
                </c:pt>
                <c:pt idx="105" formatCode="0">
                  <c:v>12672.45</c:v>
                </c:pt>
                <c:pt idx="106" formatCode="0">
                  <c:v>11845.11</c:v>
                </c:pt>
                <c:pt idx="107" formatCode="0">
                  <c:v>32605.51</c:v>
                </c:pt>
                <c:pt idx="108" formatCode="0">
                  <c:v>8371.52</c:v>
                </c:pt>
                <c:pt idx="109" formatCode="0">
                  <c:v>17551.5</c:v>
                </c:pt>
                <c:pt idx="110" formatCode="0">
                  <c:v>14744.51</c:v>
                </c:pt>
                <c:pt idx="111" formatCode="0">
                  <c:v>16511.72</c:v>
                </c:pt>
                <c:pt idx="112" formatCode="0">
                  <c:v>16740.490000000002</c:v>
                </c:pt>
                <c:pt idx="113" formatCode="0">
                  <c:v>11135.75</c:v>
                </c:pt>
                <c:pt idx="114" formatCode="0">
                  <c:v>15986.74</c:v>
                </c:pt>
                <c:pt idx="115" formatCode="0">
                  <c:v>16479.68</c:v>
                </c:pt>
                <c:pt idx="116" formatCode="0">
                  <c:v>14004.89</c:v>
                </c:pt>
                <c:pt idx="117" formatCode="0">
                  <c:v>15617.17</c:v>
                </c:pt>
                <c:pt idx="118" formatCode="0">
                  <c:v>11508.63</c:v>
                </c:pt>
                <c:pt idx="119" formatCode="0">
                  <c:v>12842.23</c:v>
                </c:pt>
                <c:pt idx="120" formatCode="0">
                  <c:v>20379.490000000002</c:v>
                </c:pt>
                <c:pt idx="121" formatCode="0">
                  <c:v>8614.7900000000009</c:v>
                </c:pt>
                <c:pt idx="122" formatCode="0">
                  <c:v>14240.08</c:v>
                </c:pt>
                <c:pt idx="123" formatCode="0">
                  <c:v>16312.1</c:v>
                </c:pt>
                <c:pt idx="124" formatCode="0">
                  <c:v>14628.3</c:v>
                </c:pt>
                <c:pt idx="125" formatCode="0">
                  <c:v>16121.74</c:v>
                </c:pt>
                <c:pt idx="126" formatCode="0">
                  <c:v>17384.310000000001</c:v>
                </c:pt>
                <c:pt idx="127" formatCode="0">
                  <c:v>11767.97</c:v>
                </c:pt>
                <c:pt idx="128" formatCode="0">
                  <c:v>14015.8</c:v>
                </c:pt>
                <c:pt idx="129" formatCode="0">
                  <c:v>11523.54</c:v>
                </c:pt>
                <c:pt idx="130" formatCode="0">
                  <c:v>13013.78</c:v>
                </c:pt>
                <c:pt idx="131" formatCode="0">
                  <c:v>11688.38</c:v>
                </c:pt>
                <c:pt idx="132" formatCode="0">
                  <c:v>17128.12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1-455D-A3B6-C64D5B703973}"/>
            </c:ext>
          </c:extLst>
        </c:ser>
        <c:ser>
          <c:idx val="2"/>
          <c:order val="2"/>
          <c:tx>
            <c:strRef>
              <c:f>'Monthly Stats'!$G$2</c:f>
              <c:strCache>
                <c:ptCount val="1"/>
                <c:pt idx="0">
                  <c:v>Stock Level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Stats'!$G$3:$G$135</c:f>
              <c:numCache>
                <c:formatCode>General</c:formatCode>
                <c:ptCount val="133"/>
                <c:pt idx="0">
                  <c:v>1877</c:v>
                </c:pt>
                <c:pt idx="1">
                  <c:v>3280</c:v>
                </c:pt>
                <c:pt idx="2">
                  <c:v>5214</c:v>
                </c:pt>
                <c:pt idx="3">
                  <c:v>3447</c:v>
                </c:pt>
                <c:pt idx="4">
                  <c:v>2706</c:v>
                </c:pt>
                <c:pt idx="5">
                  <c:v>2676</c:v>
                </c:pt>
                <c:pt idx="6">
                  <c:v>2945</c:v>
                </c:pt>
                <c:pt idx="7">
                  <c:v>2340</c:v>
                </c:pt>
                <c:pt idx="8">
                  <c:v>1937</c:v>
                </c:pt>
                <c:pt idx="9">
                  <c:v>1226</c:v>
                </c:pt>
                <c:pt idx="10">
                  <c:v>1333</c:v>
                </c:pt>
                <c:pt idx="11">
                  <c:v>1617</c:v>
                </c:pt>
                <c:pt idx="12">
                  <c:v>833</c:v>
                </c:pt>
                <c:pt idx="13">
                  <c:v>8194</c:v>
                </c:pt>
                <c:pt idx="14">
                  <c:v>9006</c:v>
                </c:pt>
                <c:pt idx="15">
                  <c:v>11312</c:v>
                </c:pt>
                <c:pt idx="16">
                  <c:v>9370</c:v>
                </c:pt>
                <c:pt idx="17">
                  <c:v>7628</c:v>
                </c:pt>
                <c:pt idx="18">
                  <c:v>5621</c:v>
                </c:pt>
                <c:pt idx="19">
                  <c:v>4819</c:v>
                </c:pt>
                <c:pt idx="20">
                  <c:v>4187</c:v>
                </c:pt>
                <c:pt idx="21">
                  <c:v>2092</c:v>
                </c:pt>
                <c:pt idx="22">
                  <c:v>4440</c:v>
                </c:pt>
                <c:pt idx="23">
                  <c:v>5467</c:v>
                </c:pt>
                <c:pt idx="24">
                  <c:v>3933</c:v>
                </c:pt>
                <c:pt idx="25">
                  <c:v>9296</c:v>
                </c:pt>
                <c:pt idx="26">
                  <c:v>7747</c:v>
                </c:pt>
                <c:pt idx="27">
                  <c:v>15404</c:v>
                </c:pt>
                <c:pt idx="28">
                  <c:v>11715</c:v>
                </c:pt>
                <c:pt idx="29">
                  <c:v>12294</c:v>
                </c:pt>
                <c:pt idx="30">
                  <c:v>11201</c:v>
                </c:pt>
                <c:pt idx="31">
                  <c:v>9563</c:v>
                </c:pt>
                <c:pt idx="32">
                  <c:v>9405</c:v>
                </c:pt>
                <c:pt idx="33">
                  <c:v>9962</c:v>
                </c:pt>
                <c:pt idx="34">
                  <c:v>12478</c:v>
                </c:pt>
                <c:pt idx="35">
                  <c:v>10729</c:v>
                </c:pt>
                <c:pt idx="36">
                  <c:v>10588</c:v>
                </c:pt>
                <c:pt idx="37">
                  <c:v>16440</c:v>
                </c:pt>
                <c:pt idx="38">
                  <c:v>23905</c:v>
                </c:pt>
                <c:pt idx="39">
                  <c:v>20459</c:v>
                </c:pt>
                <c:pt idx="40">
                  <c:v>21619</c:v>
                </c:pt>
                <c:pt idx="41">
                  <c:v>21602</c:v>
                </c:pt>
                <c:pt idx="42">
                  <c:v>17048</c:v>
                </c:pt>
                <c:pt idx="43">
                  <c:v>13595</c:v>
                </c:pt>
                <c:pt idx="44">
                  <c:v>14886</c:v>
                </c:pt>
                <c:pt idx="45">
                  <c:v>10725</c:v>
                </c:pt>
                <c:pt idx="46">
                  <c:v>15546</c:v>
                </c:pt>
                <c:pt idx="47">
                  <c:v>12571</c:v>
                </c:pt>
                <c:pt idx="48">
                  <c:v>6397</c:v>
                </c:pt>
                <c:pt idx="49">
                  <c:v>9903</c:v>
                </c:pt>
                <c:pt idx="50">
                  <c:v>8084</c:v>
                </c:pt>
                <c:pt idx="51">
                  <c:v>14013</c:v>
                </c:pt>
                <c:pt idx="52">
                  <c:v>10185</c:v>
                </c:pt>
                <c:pt idx="53">
                  <c:v>4913</c:v>
                </c:pt>
                <c:pt idx="54">
                  <c:v>4474</c:v>
                </c:pt>
                <c:pt idx="55">
                  <c:v>3866</c:v>
                </c:pt>
                <c:pt idx="56">
                  <c:v>2204</c:v>
                </c:pt>
                <c:pt idx="57">
                  <c:v>7419</c:v>
                </c:pt>
                <c:pt idx="58">
                  <c:v>14879</c:v>
                </c:pt>
                <c:pt idx="59">
                  <c:v>12088</c:v>
                </c:pt>
                <c:pt idx="60">
                  <c:v>10675</c:v>
                </c:pt>
                <c:pt idx="61">
                  <c:v>17932</c:v>
                </c:pt>
                <c:pt idx="62">
                  <c:v>16686</c:v>
                </c:pt>
                <c:pt idx="63">
                  <c:v>29898</c:v>
                </c:pt>
                <c:pt idx="64">
                  <c:v>29437</c:v>
                </c:pt>
                <c:pt idx="65">
                  <c:v>26229</c:v>
                </c:pt>
                <c:pt idx="66">
                  <c:v>22246</c:v>
                </c:pt>
                <c:pt idx="67">
                  <c:v>20005</c:v>
                </c:pt>
                <c:pt idx="68">
                  <c:v>19173</c:v>
                </c:pt>
                <c:pt idx="69">
                  <c:v>18697</c:v>
                </c:pt>
                <c:pt idx="70">
                  <c:v>16610</c:v>
                </c:pt>
                <c:pt idx="71">
                  <c:v>15795</c:v>
                </c:pt>
                <c:pt idx="72">
                  <c:v>17812</c:v>
                </c:pt>
                <c:pt idx="73">
                  <c:v>27000</c:v>
                </c:pt>
                <c:pt idx="74">
                  <c:v>32255</c:v>
                </c:pt>
                <c:pt idx="75">
                  <c:v>40358</c:v>
                </c:pt>
                <c:pt idx="76">
                  <c:v>39073</c:v>
                </c:pt>
                <c:pt idx="77">
                  <c:v>37818</c:v>
                </c:pt>
                <c:pt idx="78">
                  <c:v>33140</c:v>
                </c:pt>
                <c:pt idx="79">
                  <c:v>30232</c:v>
                </c:pt>
                <c:pt idx="80">
                  <c:v>27667</c:v>
                </c:pt>
                <c:pt idx="81">
                  <c:v>23953</c:v>
                </c:pt>
                <c:pt idx="82">
                  <c:v>24801</c:v>
                </c:pt>
                <c:pt idx="83">
                  <c:v>22036</c:v>
                </c:pt>
                <c:pt idx="84">
                  <c:v>17753</c:v>
                </c:pt>
                <c:pt idx="85">
                  <c:v>22436</c:v>
                </c:pt>
                <c:pt idx="86">
                  <c:v>21810</c:v>
                </c:pt>
                <c:pt idx="87">
                  <c:v>39246</c:v>
                </c:pt>
                <c:pt idx="88">
                  <c:v>36597</c:v>
                </c:pt>
                <c:pt idx="89">
                  <c:v>32378</c:v>
                </c:pt>
                <c:pt idx="90">
                  <c:v>30818</c:v>
                </c:pt>
                <c:pt idx="91">
                  <c:v>26228</c:v>
                </c:pt>
                <c:pt idx="92">
                  <c:v>23307</c:v>
                </c:pt>
                <c:pt idx="93">
                  <c:v>20741</c:v>
                </c:pt>
                <c:pt idx="94">
                  <c:v>17065</c:v>
                </c:pt>
                <c:pt idx="95">
                  <c:v>14967</c:v>
                </c:pt>
                <c:pt idx="96">
                  <c:v>16430</c:v>
                </c:pt>
                <c:pt idx="97">
                  <c:v>21120</c:v>
                </c:pt>
                <c:pt idx="98">
                  <c:v>31573</c:v>
                </c:pt>
                <c:pt idx="99">
                  <c:v>51265</c:v>
                </c:pt>
                <c:pt idx="100" formatCode="0">
                  <c:v>48290.96</c:v>
                </c:pt>
                <c:pt idx="101" formatCode="0">
                  <c:v>45574.909999999996</c:v>
                </c:pt>
                <c:pt idx="102" formatCode="0">
                  <c:v>43894.93</c:v>
                </c:pt>
                <c:pt idx="103" formatCode="0">
                  <c:v>38010.149999999994</c:v>
                </c:pt>
                <c:pt idx="104" formatCode="0">
                  <c:v>44311.899999999994</c:v>
                </c:pt>
                <c:pt idx="105" formatCode="0">
                  <c:v>55875.62999999999</c:v>
                </c:pt>
                <c:pt idx="106" formatCode="0">
                  <c:v>60011.469999999987</c:v>
                </c:pt>
                <c:pt idx="107" formatCode="0">
                  <c:v>35271.149999999994</c:v>
                </c:pt>
                <c:pt idx="108" formatCode="0">
                  <c:v>37823.189999999988</c:v>
                </c:pt>
                <c:pt idx="109" formatCode="0">
                  <c:v>37882.669999999984</c:v>
                </c:pt>
                <c:pt idx="110" formatCode="0">
                  <c:v>45129.82999999998</c:v>
                </c:pt>
                <c:pt idx="111" formatCode="0">
                  <c:v>60134.059999999983</c:v>
                </c:pt>
                <c:pt idx="112" formatCode="0">
                  <c:v>59030.079999999973</c:v>
                </c:pt>
                <c:pt idx="113" formatCode="0">
                  <c:v>61820.969999999972</c:v>
                </c:pt>
                <c:pt idx="114" formatCode="0">
                  <c:v>63945.469999999979</c:v>
                </c:pt>
                <c:pt idx="115" formatCode="0">
                  <c:v>60046.199999999975</c:v>
                </c:pt>
                <c:pt idx="116" formatCode="0">
                  <c:v>57113.379999999976</c:v>
                </c:pt>
                <c:pt idx="117" formatCode="0">
                  <c:v>51763.069999999978</c:v>
                </c:pt>
                <c:pt idx="118" formatCode="0">
                  <c:v>51035.129999999983</c:v>
                </c:pt>
                <c:pt idx="119" formatCode="0">
                  <c:v>49247.51999999999</c:v>
                </c:pt>
                <c:pt idx="120" formatCode="0">
                  <c:v>42044.289999999994</c:v>
                </c:pt>
                <c:pt idx="121" formatCode="0">
                  <c:v>51520.13</c:v>
                </c:pt>
                <c:pt idx="122" formatCode="0">
                  <c:v>55918.159999999989</c:v>
                </c:pt>
                <c:pt idx="123" formatCode="0">
                  <c:v>67696.029999999984</c:v>
                </c:pt>
                <c:pt idx="124" formatCode="0">
                  <c:v>65543.689999999988</c:v>
                </c:pt>
                <c:pt idx="125" formatCode="0">
                  <c:v>64537.299999999996</c:v>
                </c:pt>
                <c:pt idx="126" formatCode="0">
                  <c:v>62237.520000000004</c:v>
                </c:pt>
                <c:pt idx="127" formatCode="0">
                  <c:v>62070.600000000006</c:v>
                </c:pt>
                <c:pt idx="128" formatCode="0">
                  <c:v>60647.37000000001</c:v>
                </c:pt>
                <c:pt idx="129" formatCode="0">
                  <c:v>60087.060000000005</c:v>
                </c:pt>
                <c:pt idx="130" formatCode="0">
                  <c:v>64130.05</c:v>
                </c:pt>
                <c:pt idx="131" formatCode="0">
                  <c:v>65778.45</c:v>
                </c:pt>
                <c:pt idx="132" formatCode="0">
                  <c:v>74204.81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31-455D-A3B6-C64D5B703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66848"/>
        <c:axId val="82368768"/>
      </c:lineChart>
      <c:dateAx>
        <c:axId val="82366848"/>
        <c:scaling>
          <c:orientation val="minMax"/>
          <c:max val="4480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68768"/>
        <c:crosses val="autoZero"/>
        <c:auto val="1"/>
        <c:lblOffset val="100"/>
        <c:baseTimeUnit val="months"/>
        <c:minorUnit val="1"/>
        <c:minorTimeUnit val="months"/>
      </c:dateAx>
      <c:valAx>
        <c:axId val="8236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Weight (Kg)</a:t>
                </a:r>
              </a:p>
            </c:rich>
          </c:tx>
          <c:layout>
            <c:manualLayout>
              <c:xMode val="edge"/>
              <c:yMode val="edge"/>
              <c:x val="8.6706218045804855E-3"/>
              <c:y val="0.41899468448796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66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97236981934112"/>
          <c:y val="0.24369814562036507"/>
          <c:w val="0.17747077577045697"/>
          <c:h val="0.19047671151936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4" l="0.44" r="0.45" t="0.35000000000000026" header="0.37000000000000027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People fed by Crisis Type</a:t>
            </a:r>
          </a:p>
        </c:rich>
      </c:tx>
      <c:layout>
        <c:manualLayout>
          <c:xMode val="edge"/>
          <c:yMode val="edge"/>
          <c:x val="0.19861848875108226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2221071912089"/>
          <c:y val="0.30185062273807001"/>
          <c:w val="0.44022174140158149"/>
          <c:h val="0.620254344142420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B8-4A70-8F63-396BCDE21F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B8-4A70-8F63-396BCDE21F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B8-4A70-8F63-396BCDE21F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B8-4A70-8F63-396BCDE21F5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3B8-4A70-8F63-396BCDE21F5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B8-4A70-8F63-396BCDE21F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3B8-4A70-8F63-396BCDE21F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B8-4A70-8F63-396BCDE21F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3B8-4A70-8F63-396BCDE21F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3B8-4A70-8F63-396BCDE21F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3B8-4A70-8F63-396BCDE21F5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Sheet2!$B$4:$B$15</c:f>
              <c:strCache>
                <c:ptCount val="12"/>
                <c:pt idx="0">
                  <c:v>Benefit Delays</c:v>
                </c:pt>
                <c:pt idx="1">
                  <c:v>Benefit Changes</c:v>
                </c:pt>
                <c:pt idx="2">
                  <c:v>Domestic Violence</c:v>
                </c:pt>
                <c:pt idx="3">
                  <c:v>Low Income</c:v>
                </c:pt>
                <c:pt idx="4">
                  <c:v>Delayed Wages</c:v>
                </c:pt>
                <c:pt idx="5">
                  <c:v>Other</c:v>
                </c:pt>
                <c:pt idx="6">
                  <c:v>Debt</c:v>
                </c:pt>
                <c:pt idx="7">
                  <c:v>Sickness</c:v>
                </c:pt>
                <c:pt idx="8">
                  <c:v>Homeless</c:v>
                </c:pt>
                <c:pt idx="9">
                  <c:v>Refused Crisis Loan</c:v>
                </c:pt>
                <c:pt idx="10">
                  <c:v>Unemployed</c:v>
                </c:pt>
                <c:pt idx="11">
                  <c:v>Child Holiday Meals</c:v>
                </c:pt>
              </c:strCache>
            </c:strRef>
          </c:cat>
          <c:val>
            <c:numRef>
              <c:f>Sheet2!$D$4:$D$15</c:f>
              <c:numCache>
                <c:formatCode>General</c:formatCode>
                <c:ptCount val="12"/>
                <c:pt idx="0">
                  <c:v>1735</c:v>
                </c:pt>
                <c:pt idx="1">
                  <c:v>1109</c:v>
                </c:pt>
                <c:pt idx="2">
                  <c:v>74</c:v>
                </c:pt>
                <c:pt idx="3">
                  <c:v>1088</c:v>
                </c:pt>
                <c:pt idx="4">
                  <c:v>30</c:v>
                </c:pt>
                <c:pt idx="5">
                  <c:v>444</c:v>
                </c:pt>
                <c:pt idx="6">
                  <c:v>430</c:v>
                </c:pt>
                <c:pt idx="7">
                  <c:v>57</c:v>
                </c:pt>
                <c:pt idx="8">
                  <c:v>339</c:v>
                </c:pt>
                <c:pt idx="9">
                  <c:v>214</c:v>
                </c:pt>
                <c:pt idx="10">
                  <c:v>192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B8-4A70-8F63-396BCDE21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621870452721904"/>
          <c:y val="0.23809573803274589"/>
          <c:w val="0.34369657160730549"/>
          <c:h val="0.67143007124109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Month by Month - C</a:t>
            </a:r>
            <a:r>
              <a:rPr lang="en-GB" baseline="0"/>
              <a:t>hange Compared to Previous Year</a:t>
            </a:r>
            <a:endParaRPr lang="en-GB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03161840925171E-2"/>
          <c:y val="0.13650128071340478"/>
          <c:w val="0.9136317924491838"/>
          <c:h val="0.839771155590115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'Monthly Stats'!$AQ$15:$AQ$135</c:f>
              <c:numCache>
                <c:formatCode>mmm\-yy</c:formatCode>
                <c:ptCount val="121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  <c:pt idx="7">
                  <c:v>41365</c:v>
                </c:pt>
                <c:pt idx="8">
                  <c:v>41395</c:v>
                </c:pt>
                <c:pt idx="9">
                  <c:v>41426</c:v>
                </c:pt>
                <c:pt idx="10">
                  <c:v>41456</c:v>
                </c:pt>
                <c:pt idx="11">
                  <c:v>41487</c:v>
                </c:pt>
                <c:pt idx="12">
                  <c:v>41518</c:v>
                </c:pt>
                <c:pt idx="13">
                  <c:v>41548</c:v>
                </c:pt>
                <c:pt idx="14">
                  <c:v>41579</c:v>
                </c:pt>
                <c:pt idx="15">
                  <c:v>41609</c:v>
                </c:pt>
                <c:pt idx="16">
                  <c:v>41640</c:v>
                </c:pt>
                <c:pt idx="17">
                  <c:v>41671</c:v>
                </c:pt>
                <c:pt idx="18">
                  <c:v>41699</c:v>
                </c:pt>
                <c:pt idx="19">
                  <c:v>41730</c:v>
                </c:pt>
                <c:pt idx="20">
                  <c:v>41760</c:v>
                </c:pt>
                <c:pt idx="21">
                  <c:v>41791</c:v>
                </c:pt>
                <c:pt idx="22">
                  <c:v>41821</c:v>
                </c:pt>
                <c:pt idx="23">
                  <c:v>41852</c:v>
                </c:pt>
                <c:pt idx="24">
                  <c:v>41883</c:v>
                </c:pt>
                <c:pt idx="25">
                  <c:v>41913</c:v>
                </c:pt>
                <c:pt idx="26">
                  <c:v>41944</c:v>
                </c:pt>
                <c:pt idx="27">
                  <c:v>41974</c:v>
                </c:pt>
                <c:pt idx="28">
                  <c:v>42005</c:v>
                </c:pt>
                <c:pt idx="29">
                  <c:v>42036</c:v>
                </c:pt>
                <c:pt idx="30">
                  <c:v>42064</c:v>
                </c:pt>
                <c:pt idx="31">
                  <c:v>42095</c:v>
                </c:pt>
                <c:pt idx="32">
                  <c:v>42125</c:v>
                </c:pt>
                <c:pt idx="33">
                  <c:v>42156</c:v>
                </c:pt>
                <c:pt idx="34">
                  <c:v>42186</c:v>
                </c:pt>
                <c:pt idx="35">
                  <c:v>42217</c:v>
                </c:pt>
                <c:pt idx="36">
                  <c:v>42248</c:v>
                </c:pt>
                <c:pt idx="37">
                  <c:v>42278</c:v>
                </c:pt>
                <c:pt idx="38">
                  <c:v>42309</c:v>
                </c:pt>
                <c:pt idx="39">
                  <c:v>42339</c:v>
                </c:pt>
                <c:pt idx="40">
                  <c:v>42370</c:v>
                </c:pt>
                <c:pt idx="41">
                  <c:v>42401</c:v>
                </c:pt>
                <c:pt idx="42">
                  <c:v>42430</c:v>
                </c:pt>
                <c:pt idx="43">
                  <c:v>42461</c:v>
                </c:pt>
                <c:pt idx="44">
                  <c:v>42491</c:v>
                </c:pt>
                <c:pt idx="45">
                  <c:v>42522</c:v>
                </c:pt>
                <c:pt idx="46">
                  <c:v>42552</c:v>
                </c:pt>
                <c:pt idx="47">
                  <c:v>42583</c:v>
                </c:pt>
                <c:pt idx="48">
                  <c:v>42614</c:v>
                </c:pt>
                <c:pt idx="49">
                  <c:v>42644</c:v>
                </c:pt>
                <c:pt idx="50">
                  <c:v>42675</c:v>
                </c:pt>
                <c:pt idx="51">
                  <c:v>42705</c:v>
                </c:pt>
                <c:pt idx="52">
                  <c:v>42736</c:v>
                </c:pt>
                <c:pt idx="53">
                  <c:v>42767</c:v>
                </c:pt>
                <c:pt idx="54">
                  <c:v>42795</c:v>
                </c:pt>
                <c:pt idx="55">
                  <c:v>42826</c:v>
                </c:pt>
                <c:pt idx="56">
                  <c:v>42856</c:v>
                </c:pt>
                <c:pt idx="57">
                  <c:v>42887</c:v>
                </c:pt>
                <c:pt idx="58">
                  <c:v>42917</c:v>
                </c:pt>
                <c:pt idx="59">
                  <c:v>42948</c:v>
                </c:pt>
                <c:pt idx="60">
                  <c:v>42979</c:v>
                </c:pt>
                <c:pt idx="61">
                  <c:v>43009</c:v>
                </c:pt>
                <c:pt idx="62">
                  <c:v>43040</c:v>
                </c:pt>
                <c:pt idx="63">
                  <c:v>43070</c:v>
                </c:pt>
                <c:pt idx="64">
                  <c:v>43101</c:v>
                </c:pt>
                <c:pt idx="65">
                  <c:v>43132</c:v>
                </c:pt>
                <c:pt idx="66">
                  <c:v>43160</c:v>
                </c:pt>
                <c:pt idx="67">
                  <c:v>43191</c:v>
                </c:pt>
                <c:pt idx="68">
                  <c:v>43221</c:v>
                </c:pt>
                <c:pt idx="69">
                  <c:v>43252</c:v>
                </c:pt>
                <c:pt idx="70">
                  <c:v>43282</c:v>
                </c:pt>
                <c:pt idx="71">
                  <c:v>43313</c:v>
                </c:pt>
                <c:pt idx="72">
                  <c:v>43344</c:v>
                </c:pt>
                <c:pt idx="73">
                  <c:v>43374</c:v>
                </c:pt>
                <c:pt idx="74">
                  <c:v>43405</c:v>
                </c:pt>
                <c:pt idx="75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88">
                  <c:v>43831</c:v>
                </c:pt>
                <c:pt idx="89">
                  <c:v>43862</c:v>
                </c:pt>
                <c:pt idx="90">
                  <c:v>43891</c:v>
                </c:pt>
                <c:pt idx="91">
                  <c:v>43922</c:v>
                </c:pt>
                <c:pt idx="92">
                  <c:v>43952</c:v>
                </c:pt>
                <c:pt idx="93">
                  <c:v>43983</c:v>
                </c:pt>
                <c:pt idx="94">
                  <c:v>44013</c:v>
                </c:pt>
                <c:pt idx="95">
                  <c:v>44044</c:v>
                </c:pt>
                <c:pt idx="96">
                  <c:v>44075</c:v>
                </c:pt>
                <c:pt idx="97">
                  <c:v>44105</c:v>
                </c:pt>
                <c:pt idx="98">
                  <c:v>44136</c:v>
                </c:pt>
                <c:pt idx="99">
                  <c:v>44166</c:v>
                </c:pt>
                <c:pt idx="100">
                  <c:v>44197</c:v>
                </c:pt>
                <c:pt idx="101">
                  <c:v>44228</c:v>
                </c:pt>
                <c:pt idx="102">
                  <c:v>44256</c:v>
                </c:pt>
                <c:pt idx="103">
                  <c:v>44287</c:v>
                </c:pt>
                <c:pt idx="104">
                  <c:v>44317</c:v>
                </c:pt>
                <c:pt idx="105">
                  <c:v>44348</c:v>
                </c:pt>
                <c:pt idx="106">
                  <c:v>44378</c:v>
                </c:pt>
                <c:pt idx="107">
                  <c:v>44409</c:v>
                </c:pt>
                <c:pt idx="108">
                  <c:v>44440</c:v>
                </c:pt>
                <c:pt idx="109">
                  <c:v>44470</c:v>
                </c:pt>
                <c:pt idx="110">
                  <c:v>44501</c:v>
                </c:pt>
                <c:pt idx="111">
                  <c:v>44531</c:v>
                </c:pt>
                <c:pt idx="112">
                  <c:v>44562</c:v>
                </c:pt>
                <c:pt idx="113">
                  <c:v>44593</c:v>
                </c:pt>
                <c:pt idx="114">
                  <c:v>44621</c:v>
                </c:pt>
                <c:pt idx="115">
                  <c:v>44652</c:v>
                </c:pt>
                <c:pt idx="116">
                  <c:v>44682</c:v>
                </c:pt>
                <c:pt idx="117">
                  <c:v>44713</c:v>
                </c:pt>
                <c:pt idx="118">
                  <c:v>44743</c:v>
                </c:pt>
                <c:pt idx="119">
                  <c:v>44774</c:v>
                </c:pt>
                <c:pt idx="120">
                  <c:v>44805</c:v>
                </c:pt>
              </c:numCache>
            </c:numRef>
          </c:cat>
          <c:val>
            <c:numRef>
              <c:f>'Monthly Stats'!$AR$15:$AR$135</c:f>
              <c:numCache>
                <c:formatCode>0</c:formatCode>
                <c:ptCount val="121"/>
                <c:pt idx="0">
                  <c:v>346</c:v>
                </c:pt>
                <c:pt idx="1">
                  <c:v>477</c:v>
                </c:pt>
                <c:pt idx="2">
                  <c:v>502</c:v>
                </c:pt>
                <c:pt idx="3">
                  <c:v>487</c:v>
                </c:pt>
                <c:pt idx="4">
                  <c:v>399</c:v>
                </c:pt>
                <c:pt idx="5">
                  <c:v>469</c:v>
                </c:pt>
                <c:pt idx="6">
                  <c:v>462</c:v>
                </c:pt>
                <c:pt idx="7">
                  <c:v>641</c:v>
                </c:pt>
                <c:pt idx="8">
                  <c:v>822</c:v>
                </c:pt>
                <c:pt idx="9">
                  <c:v>717</c:v>
                </c:pt>
                <c:pt idx="10">
                  <c:v>707</c:v>
                </c:pt>
                <c:pt idx="11">
                  <c:v>500</c:v>
                </c:pt>
                <c:pt idx="12">
                  <c:v>586</c:v>
                </c:pt>
                <c:pt idx="13">
                  <c:v>866</c:v>
                </c:pt>
                <c:pt idx="14">
                  <c:v>534</c:v>
                </c:pt>
                <c:pt idx="15">
                  <c:v>581</c:v>
                </c:pt>
                <c:pt idx="16">
                  <c:v>899</c:v>
                </c:pt>
                <c:pt idx="17">
                  <c:v>673</c:v>
                </c:pt>
                <c:pt idx="18">
                  <c:v>620</c:v>
                </c:pt>
                <c:pt idx="19">
                  <c:v>451</c:v>
                </c:pt>
                <c:pt idx="20">
                  <c:v>71</c:v>
                </c:pt>
                <c:pt idx="21">
                  <c:v>-4</c:v>
                </c:pt>
                <c:pt idx="22">
                  <c:v>131</c:v>
                </c:pt>
                <c:pt idx="23">
                  <c:v>357</c:v>
                </c:pt>
                <c:pt idx="24">
                  <c:v>412</c:v>
                </c:pt>
                <c:pt idx="25">
                  <c:v>-138</c:v>
                </c:pt>
                <c:pt idx="26">
                  <c:v>58</c:v>
                </c:pt>
                <c:pt idx="27">
                  <c:v>319</c:v>
                </c:pt>
                <c:pt idx="28">
                  <c:v>-425</c:v>
                </c:pt>
                <c:pt idx="29">
                  <c:v>-363</c:v>
                </c:pt>
                <c:pt idx="30">
                  <c:v>-322</c:v>
                </c:pt>
                <c:pt idx="31">
                  <c:v>-610</c:v>
                </c:pt>
                <c:pt idx="32">
                  <c:v>-111</c:v>
                </c:pt>
                <c:pt idx="33">
                  <c:v>136</c:v>
                </c:pt>
                <c:pt idx="34">
                  <c:v>-111</c:v>
                </c:pt>
                <c:pt idx="35">
                  <c:v>-416</c:v>
                </c:pt>
                <c:pt idx="36">
                  <c:v>-25</c:v>
                </c:pt>
                <c:pt idx="37">
                  <c:v>0</c:v>
                </c:pt>
                <c:pt idx="38">
                  <c:v>251</c:v>
                </c:pt>
                <c:pt idx="39">
                  <c:v>487</c:v>
                </c:pt>
                <c:pt idx="40">
                  <c:v>729</c:v>
                </c:pt>
                <c:pt idx="41">
                  <c:v>563</c:v>
                </c:pt>
                <c:pt idx="42">
                  <c:v>563</c:v>
                </c:pt>
                <c:pt idx="43">
                  <c:v>243</c:v>
                </c:pt>
                <c:pt idx="44">
                  <c:v>173</c:v>
                </c:pt>
                <c:pt idx="45">
                  <c:v>-74</c:v>
                </c:pt>
                <c:pt idx="46">
                  <c:v>-93</c:v>
                </c:pt>
                <c:pt idx="47">
                  <c:v>76</c:v>
                </c:pt>
                <c:pt idx="48">
                  <c:v>16</c:v>
                </c:pt>
                <c:pt idx="49">
                  <c:v>32</c:v>
                </c:pt>
                <c:pt idx="50">
                  <c:v>396</c:v>
                </c:pt>
                <c:pt idx="51">
                  <c:v>-393</c:v>
                </c:pt>
                <c:pt idx="52">
                  <c:v>-99</c:v>
                </c:pt>
                <c:pt idx="53">
                  <c:v>37</c:v>
                </c:pt>
                <c:pt idx="54">
                  <c:v>156</c:v>
                </c:pt>
                <c:pt idx="55">
                  <c:v>241</c:v>
                </c:pt>
                <c:pt idx="56">
                  <c:v>0</c:v>
                </c:pt>
                <c:pt idx="57">
                  <c:v>172</c:v>
                </c:pt>
                <c:pt idx="58">
                  <c:v>138</c:v>
                </c:pt>
                <c:pt idx="59">
                  <c:v>157</c:v>
                </c:pt>
                <c:pt idx="60">
                  <c:v>-140</c:v>
                </c:pt>
                <c:pt idx="61">
                  <c:v>21</c:v>
                </c:pt>
                <c:pt idx="62">
                  <c:v>4</c:v>
                </c:pt>
                <c:pt idx="63">
                  <c:v>309</c:v>
                </c:pt>
                <c:pt idx="64">
                  <c:v>-71</c:v>
                </c:pt>
                <c:pt idx="65">
                  <c:v>-80</c:v>
                </c:pt>
                <c:pt idx="66">
                  <c:v>-60</c:v>
                </c:pt>
                <c:pt idx="67">
                  <c:v>159</c:v>
                </c:pt>
                <c:pt idx="68">
                  <c:v>60</c:v>
                </c:pt>
                <c:pt idx="69">
                  <c:v>-94</c:v>
                </c:pt>
                <c:pt idx="70">
                  <c:v>-43</c:v>
                </c:pt>
                <c:pt idx="71">
                  <c:v>147</c:v>
                </c:pt>
                <c:pt idx="72">
                  <c:v>303</c:v>
                </c:pt>
                <c:pt idx="73">
                  <c:v>474</c:v>
                </c:pt>
                <c:pt idx="74">
                  <c:v>165</c:v>
                </c:pt>
                <c:pt idx="75">
                  <c:v>190</c:v>
                </c:pt>
                <c:pt idx="76">
                  <c:v>635</c:v>
                </c:pt>
                <c:pt idx="77">
                  <c:v>246</c:v>
                </c:pt>
                <c:pt idx="78">
                  <c:v>-193</c:v>
                </c:pt>
                <c:pt idx="79">
                  <c:v>94</c:v>
                </c:pt>
                <c:pt idx="80">
                  <c:v>226</c:v>
                </c:pt>
                <c:pt idx="81">
                  <c:v>27</c:v>
                </c:pt>
                <c:pt idx="82">
                  <c:v>190</c:v>
                </c:pt>
                <c:pt idx="83">
                  <c:v>12</c:v>
                </c:pt>
                <c:pt idx="84">
                  <c:v>5</c:v>
                </c:pt>
                <c:pt idx="85">
                  <c:v>4</c:v>
                </c:pt>
                <c:pt idx="86">
                  <c:v>-33</c:v>
                </c:pt>
                <c:pt idx="87">
                  <c:v>-419</c:v>
                </c:pt>
                <c:pt idx="88">
                  <c:v>-456</c:v>
                </c:pt>
                <c:pt idx="89">
                  <c:v>-519</c:v>
                </c:pt>
                <c:pt idx="90">
                  <c:v>-44</c:v>
                </c:pt>
                <c:pt idx="91">
                  <c:v>368</c:v>
                </c:pt>
                <c:pt idx="92">
                  <c:v>-253</c:v>
                </c:pt>
                <c:pt idx="93">
                  <c:v>-328</c:v>
                </c:pt>
                <c:pt idx="94">
                  <c:v>-812</c:v>
                </c:pt>
                <c:pt idx="95">
                  <c:v>-806</c:v>
                </c:pt>
                <c:pt idx="96">
                  <c:v>-685</c:v>
                </c:pt>
                <c:pt idx="97">
                  <c:v>-863</c:v>
                </c:pt>
                <c:pt idx="98">
                  <c:v>-839</c:v>
                </c:pt>
                <c:pt idx="99">
                  <c:v>-669</c:v>
                </c:pt>
                <c:pt idx="100">
                  <c:v>-552</c:v>
                </c:pt>
                <c:pt idx="101">
                  <c:v>-395</c:v>
                </c:pt>
                <c:pt idx="102">
                  <c:v>-649</c:v>
                </c:pt>
                <c:pt idx="103">
                  <c:v>-1135</c:v>
                </c:pt>
                <c:pt idx="104">
                  <c:v>-568</c:v>
                </c:pt>
                <c:pt idx="105">
                  <c:v>-161</c:v>
                </c:pt>
                <c:pt idx="106">
                  <c:v>182</c:v>
                </c:pt>
                <c:pt idx="107">
                  <c:v>53</c:v>
                </c:pt>
                <c:pt idx="108">
                  <c:v>1</c:v>
                </c:pt>
                <c:pt idx="109">
                  <c:v>70</c:v>
                </c:pt>
                <c:pt idx="110">
                  <c:v>128</c:v>
                </c:pt>
                <c:pt idx="111">
                  <c:v>227</c:v>
                </c:pt>
                <c:pt idx="112">
                  <c:v>192</c:v>
                </c:pt>
                <c:pt idx="113">
                  <c:v>506</c:v>
                </c:pt>
                <c:pt idx="114">
                  <c:v>506</c:v>
                </c:pt>
                <c:pt idx="115">
                  <c:v>778</c:v>
                </c:pt>
                <c:pt idx="116">
                  <c:v>791</c:v>
                </c:pt>
                <c:pt idx="117">
                  <c:v>846</c:v>
                </c:pt>
                <c:pt idx="118">
                  <c:v>265</c:v>
                </c:pt>
                <c:pt idx="119">
                  <c:v>857</c:v>
                </c:pt>
                <c:pt idx="120">
                  <c:v>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0-44C9-99F9-6860AAA0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8720"/>
        <c:axId val="83129088"/>
      </c:lineChart>
      <c:dateAx>
        <c:axId val="83118720"/>
        <c:scaling>
          <c:orientation val="minMax"/>
          <c:max val="44805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29088"/>
        <c:crosses val="autoZero"/>
        <c:auto val="1"/>
        <c:lblOffset val="100"/>
        <c:baseTimeUnit val="months"/>
      </c:dateAx>
      <c:valAx>
        <c:axId val="831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8720"/>
        <c:crossesAt val="41153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/>
              <a:t>County Durham Foodbank People fed per month - all time</a:t>
            </a:r>
          </a:p>
        </c:rich>
      </c:tx>
      <c:layout>
        <c:manualLayout>
          <c:xMode val="edge"/>
          <c:yMode val="edge"/>
          <c:x val="0.32595582528928069"/>
          <c:y val="4.8801399825021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49649980278092E-2"/>
          <c:y val="0.14033107945325676"/>
          <c:w val="0.88473639004010107"/>
          <c:h val="0.72017276556672416"/>
        </c:manualLayout>
      </c:layout>
      <c:lineChart>
        <c:grouping val="standard"/>
        <c:varyColors val="0"/>
        <c:ser>
          <c:idx val="2"/>
          <c:order val="0"/>
          <c:tx>
            <c:v>Fuel Bank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Stats'!$Y$3:$Y$135</c:f>
              <c:numCache>
                <c:formatCode>General</c:formatCode>
                <c:ptCount val="133"/>
                <c:pt idx="43">
                  <c:v>42</c:v>
                </c:pt>
                <c:pt idx="44">
                  <c:v>265</c:v>
                </c:pt>
                <c:pt idx="45">
                  <c:v>433</c:v>
                </c:pt>
                <c:pt idx="46">
                  <c:v>284</c:v>
                </c:pt>
                <c:pt idx="47">
                  <c:v>292</c:v>
                </c:pt>
                <c:pt idx="48">
                  <c:v>612</c:v>
                </c:pt>
                <c:pt idx="49">
                  <c:v>632</c:v>
                </c:pt>
                <c:pt idx="50">
                  <c:v>655</c:v>
                </c:pt>
                <c:pt idx="51">
                  <c:v>982</c:v>
                </c:pt>
                <c:pt idx="52">
                  <c:v>1074</c:v>
                </c:pt>
                <c:pt idx="53">
                  <c:v>874</c:v>
                </c:pt>
                <c:pt idx="54">
                  <c:v>812</c:v>
                </c:pt>
                <c:pt idx="55">
                  <c:v>501</c:v>
                </c:pt>
                <c:pt idx="56">
                  <c:v>453</c:v>
                </c:pt>
                <c:pt idx="57">
                  <c:v>476</c:v>
                </c:pt>
                <c:pt idx="58">
                  <c:v>395</c:v>
                </c:pt>
                <c:pt idx="59">
                  <c:v>425</c:v>
                </c:pt>
                <c:pt idx="60">
                  <c:v>498</c:v>
                </c:pt>
                <c:pt idx="61">
                  <c:v>615</c:v>
                </c:pt>
                <c:pt idx="62">
                  <c:v>1010</c:v>
                </c:pt>
                <c:pt idx="63">
                  <c:v>917</c:v>
                </c:pt>
                <c:pt idx="64">
                  <c:v>929</c:v>
                </c:pt>
                <c:pt idx="65">
                  <c:v>911</c:v>
                </c:pt>
                <c:pt idx="66">
                  <c:v>867</c:v>
                </c:pt>
                <c:pt idx="67">
                  <c:v>540</c:v>
                </c:pt>
                <c:pt idx="68">
                  <c:v>524</c:v>
                </c:pt>
                <c:pt idx="69">
                  <c:v>529</c:v>
                </c:pt>
                <c:pt idx="70">
                  <c:v>528</c:v>
                </c:pt>
                <c:pt idx="71">
                  <c:v>540</c:v>
                </c:pt>
                <c:pt idx="72">
                  <c:v>555</c:v>
                </c:pt>
                <c:pt idx="73">
                  <c:v>577</c:v>
                </c:pt>
                <c:pt idx="74">
                  <c:v>938</c:v>
                </c:pt>
                <c:pt idx="75">
                  <c:v>1058</c:v>
                </c:pt>
                <c:pt idx="76">
                  <c:v>914</c:v>
                </c:pt>
                <c:pt idx="77">
                  <c:v>808</c:v>
                </c:pt>
                <c:pt idx="78">
                  <c:v>931</c:v>
                </c:pt>
                <c:pt idx="79">
                  <c:v>633</c:v>
                </c:pt>
                <c:pt idx="80">
                  <c:v>451</c:v>
                </c:pt>
                <c:pt idx="81">
                  <c:v>391</c:v>
                </c:pt>
                <c:pt idx="82">
                  <c:v>394</c:v>
                </c:pt>
                <c:pt idx="83">
                  <c:v>517</c:v>
                </c:pt>
                <c:pt idx="84">
                  <c:v>572</c:v>
                </c:pt>
                <c:pt idx="85">
                  <c:v>681</c:v>
                </c:pt>
                <c:pt idx="86">
                  <c:v>800</c:v>
                </c:pt>
                <c:pt idx="87">
                  <c:v>799</c:v>
                </c:pt>
                <c:pt idx="88">
                  <c:v>1012</c:v>
                </c:pt>
                <c:pt idx="89">
                  <c:v>772</c:v>
                </c:pt>
                <c:pt idx="90">
                  <c:v>544</c:v>
                </c:pt>
                <c:pt idx="91">
                  <c:v>484</c:v>
                </c:pt>
                <c:pt idx="92">
                  <c:v>488</c:v>
                </c:pt>
                <c:pt idx="93">
                  <c:v>295</c:v>
                </c:pt>
                <c:pt idx="94">
                  <c:v>477</c:v>
                </c:pt>
                <c:pt idx="95">
                  <c:v>450</c:v>
                </c:pt>
                <c:pt idx="96">
                  <c:v>496</c:v>
                </c:pt>
                <c:pt idx="97">
                  <c:v>578</c:v>
                </c:pt>
                <c:pt idx="98">
                  <c:v>789</c:v>
                </c:pt>
                <c:pt idx="99">
                  <c:v>649</c:v>
                </c:pt>
                <c:pt idx="100">
                  <c:v>660</c:v>
                </c:pt>
                <c:pt idx="101">
                  <c:v>347</c:v>
                </c:pt>
                <c:pt idx="102">
                  <c:v>281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0</c:v>
                </c:pt>
                <c:pt idx="107">
                  <c:v>35</c:v>
                </c:pt>
                <c:pt idx="108">
                  <c:v>47</c:v>
                </c:pt>
                <c:pt idx="109">
                  <c:v>105</c:v>
                </c:pt>
                <c:pt idx="110">
                  <c:v>213</c:v>
                </c:pt>
                <c:pt idx="111">
                  <c:v>232</c:v>
                </c:pt>
                <c:pt idx="112">
                  <c:v>341</c:v>
                </c:pt>
                <c:pt idx="113">
                  <c:v>335</c:v>
                </c:pt>
                <c:pt idx="114">
                  <c:v>305</c:v>
                </c:pt>
                <c:pt idx="115">
                  <c:v>223</c:v>
                </c:pt>
                <c:pt idx="116">
                  <c:v>178</c:v>
                </c:pt>
                <c:pt idx="117">
                  <c:v>138</c:v>
                </c:pt>
                <c:pt idx="118">
                  <c:v>146</c:v>
                </c:pt>
                <c:pt idx="119">
                  <c:v>144</c:v>
                </c:pt>
                <c:pt idx="120">
                  <c:v>243</c:v>
                </c:pt>
                <c:pt idx="121">
                  <c:v>252</c:v>
                </c:pt>
                <c:pt idx="122">
                  <c:v>493</c:v>
                </c:pt>
                <c:pt idx="123">
                  <c:v>668</c:v>
                </c:pt>
                <c:pt idx="124">
                  <c:v>783</c:v>
                </c:pt>
                <c:pt idx="125">
                  <c:v>724</c:v>
                </c:pt>
                <c:pt idx="126">
                  <c:v>937</c:v>
                </c:pt>
                <c:pt idx="127">
                  <c:v>375</c:v>
                </c:pt>
                <c:pt idx="128">
                  <c:v>570</c:v>
                </c:pt>
                <c:pt idx="129">
                  <c:v>475</c:v>
                </c:pt>
                <c:pt idx="130">
                  <c:v>257</c:v>
                </c:pt>
                <c:pt idx="131">
                  <c:v>484</c:v>
                </c:pt>
                <c:pt idx="132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7-4FB3-BB61-10624B075699}"/>
            </c:ext>
          </c:extLst>
        </c:ser>
        <c:ser>
          <c:idx val="3"/>
          <c:order val="1"/>
          <c:tx>
            <c:strRef>
              <c:f>'Monthly Stats'!$AL$45</c:f>
              <c:strCache>
                <c:ptCount val="1"/>
                <c:pt idx="0">
                  <c:v>Food Only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Stats'!$AN$3:$AN$135</c:f>
              <c:numCache>
                <c:formatCode>General</c:formatCode>
                <c:ptCount val="133"/>
                <c:pt idx="43" formatCode="0">
                  <c:v>679</c:v>
                </c:pt>
                <c:pt idx="44" formatCode="0">
                  <c:v>804</c:v>
                </c:pt>
                <c:pt idx="45" formatCode="0">
                  <c:v>764</c:v>
                </c:pt>
                <c:pt idx="46" formatCode="0">
                  <c:v>907</c:v>
                </c:pt>
                <c:pt idx="47" formatCode="0">
                  <c:v>736</c:v>
                </c:pt>
                <c:pt idx="48" formatCode="0">
                  <c:v>707</c:v>
                </c:pt>
                <c:pt idx="49" formatCode="0">
                  <c:v>591</c:v>
                </c:pt>
                <c:pt idx="50" formatCode="0">
                  <c:v>748</c:v>
                </c:pt>
                <c:pt idx="51" formatCode="0">
                  <c:v>1129</c:v>
                </c:pt>
                <c:pt idx="52" formatCode="0">
                  <c:v>658</c:v>
                </c:pt>
                <c:pt idx="53" formatCode="0">
                  <c:v>661</c:v>
                </c:pt>
                <c:pt idx="54" formatCode="0">
                  <c:v>813</c:v>
                </c:pt>
                <c:pt idx="55" formatCode="0">
                  <c:v>463</c:v>
                </c:pt>
                <c:pt idx="56" formatCode="0">
                  <c:v>789</c:v>
                </c:pt>
                <c:pt idx="57" formatCode="0">
                  <c:v>647</c:v>
                </c:pt>
                <c:pt idx="58" formatCode="0">
                  <c:v>703</c:v>
                </c:pt>
                <c:pt idx="59" formatCode="0">
                  <c:v>679</c:v>
                </c:pt>
                <c:pt idx="60" formatCode="0">
                  <c:v>837</c:v>
                </c:pt>
                <c:pt idx="61" formatCode="0">
                  <c:v>640</c:v>
                </c:pt>
                <c:pt idx="62" formatCode="0">
                  <c:v>789</c:v>
                </c:pt>
                <c:pt idx="63" formatCode="0">
                  <c:v>801</c:v>
                </c:pt>
                <c:pt idx="64" formatCode="0">
                  <c:v>704</c:v>
                </c:pt>
                <c:pt idx="65" formatCode="0">
                  <c:v>661</c:v>
                </c:pt>
                <c:pt idx="66" formatCode="0">
                  <c:v>914</c:v>
                </c:pt>
                <c:pt idx="67" formatCode="0">
                  <c:v>665</c:v>
                </c:pt>
                <c:pt idx="68" formatCode="0">
                  <c:v>718</c:v>
                </c:pt>
                <c:pt idx="69" formatCode="0">
                  <c:v>766</c:v>
                </c:pt>
                <c:pt idx="70" formatCode="0">
                  <c:v>708</c:v>
                </c:pt>
                <c:pt idx="71" formatCode="0">
                  <c:v>721</c:v>
                </c:pt>
                <c:pt idx="72" formatCode="0">
                  <c:v>640</c:v>
                </c:pt>
                <c:pt idx="73" formatCode="0">
                  <c:v>699</c:v>
                </c:pt>
                <c:pt idx="74" formatCode="0">
                  <c:v>865</c:v>
                </c:pt>
                <c:pt idx="75" formatCode="0">
                  <c:v>969</c:v>
                </c:pt>
                <c:pt idx="76" formatCode="0">
                  <c:v>648</c:v>
                </c:pt>
                <c:pt idx="77" formatCode="0">
                  <c:v>684</c:v>
                </c:pt>
                <c:pt idx="78" formatCode="0">
                  <c:v>790</c:v>
                </c:pt>
                <c:pt idx="79" formatCode="0">
                  <c:v>731</c:v>
                </c:pt>
                <c:pt idx="80" formatCode="0">
                  <c:v>851</c:v>
                </c:pt>
                <c:pt idx="81" formatCode="0">
                  <c:v>810</c:v>
                </c:pt>
                <c:pt idx="82" formatCode="0">
                  <c:v>799</c:v>
                </c:pt>
                <c:pt idx="83" formatCode="0">
                  <c:v>891</c:v>
                </c:pt>
                <c:pt idx="84" formatCode="0">
                  <c:v>926</c:v>
                </c:pt>
                <c:pt idx="85" formatCode="0">
                  <c:v>1069</c:v>
                </c:pt>
                <c:pt idx="86" formatCode="0">
                  <c:v>1168</c:v>
                </c:pt>
                <c:pt idx="87" formatCode="0">
                  <c:v>1418</c:v>
                </c:pt>
                <c:pt idx="88" formatCode="0">
                  <c:v>1185</c:v>
                </c:pt>
                <c:pt idx="89" formatCode="0">
                  <c:v>966</c:v>
                </c:pt>
                <c:pt idx="90" formatCode="0">
                  <c:v>984</c:v>
                </c:pt>
                <c:pt idx="91" formatCode="0">
                  <c:v>974</c:v>
                </c:pt>
                <c:pt idx="92" formatCode="0">
                  <c:v>1040</c:v>
                </c:pt>
                <c:pt idx="93" formatCode="0">
                  <c:v>933</c:v>
                </c:pt>
                <c:pt idx="94" formatCode="0">
                  <c:v>906</c:v>
                </c:pt>
                <c:pt idx="95" formatCode="0">
                  <c:v>970</c:v>
                </c:pt>
                <c:pt idx="96" formatCode="0">
                  <c:v>1007</c:v>
                </c:pt>
                <c:pt idx="97" formatCode="0">
                  <c:v>1176</c:v>
                </c:pt>
                <c:pt idx="98" formatCode="0">
                  <c:v>1146</c:v>
                </c:pt>
                <c:pt idx="99" formatCode="0">
                  <c:v>1149</c:v>
                </c:pt>
                <c:pt idx="100" formatCode="0">
                  <c:v>1081</c:v>
                </c:pt>
                <c:pt idx="101" formatCode="0">
                  <c:v>872</c:v>
                </c:pt>
                <c:pt idx="102" formatCode="0">
                  <c:v>1203</c:v>
                </c:pt>
                <c:pt idx="103" formatCode="0">
                  <c:v>1826</c:v>
                </c:pt>
                <c:pt idx="104" formatCode="0">
                  <c:v>1275</c:v>
                </c:pt>
                <c:pt idx="105" formatCode="0">
                  <c:v>895</c:v>
                </c:pt>
                <c:pt idx="106" formatCode="0">
                  <c:v>571</c:v>
                </c:pt>
                <c:pt idx="107" formatCode="0">
                  <c:v>579</c:v>
                </c:pt>
                <c:pt idx="108" formatCode="0">
                  <c:v>771</c:v>
                </c:pt>
                <c:pt idx="109" formatCode="0">
                  <c:v>786</c:v>
                </c:pt>
                <c:pt idx="110" formatCode="0">
                  <c:v>883</c:v>
                </c:pt>
                <c:pt idx="111" formatCode="0">
                  <c:v>897</c:v>
                </c:pt>
                <c:pt idx="112" formatCode="0">
                  <c:v>848</c:v>
                </c:pt>
                <c:pt idx="113" formatCode="0">
                  <c:v>489</c:v>
                </c:pt>
                <c:pt idx="114" formatCode="0">
                  <c:v>530</c:v>
                </c:pt>
                <c:pt idx="115" formatCode="0">
                  <c:v>468</c:v>
                </c:pt>
                <c:pt idx="116" formatCode="0">
                  <c:v>529</c:v>
                </c:pt>
                <c:pt idx="117" formatCode="0">
                  <c:v>601</c:v>
                </c:pt>
                <c:pt idx="118" formatCode="0">
                  <c:v>607</c:v>
                </c:pt>
                <c:pt idx="119" formatCode="0">
                  <c:v>523</c:v>
                </c:pt>
                <c:pt idx="120" formatCode="0">
                  <c:v>576</c:v>
                </c:pt>
                <c:pt idx="121" formatCode="0">
                  <c:v>709</c:v>
                </c:pt>
                <c:pt idx="122" formatCode="0">
                  <c:v>731</c:v>
                </c:pt>
                <c:pt idx="123" formatCode="0">
                  <c:v>688</c:v>
                </c:pt>
                <c:pt idx="124" formatCode="0">
                  <c:v>598</c:v>
                </c:pt>
                <c:pt idx="125" formatCode="0">
                  <c:v>606</c:v>
                </c:pt>
                <c:pt idx="126" formatCode="0">
                  <c:v>404</c:v>
                </c:pt>
                <c:pt idx="127" formatCode="0">
                  <c:v>1094</c:v>
                </c:pt>
                <c:pt idx="128" formatCode="0">
                  <c:v>928</c:v>
                </c:pt>
                <c:pt idx="129" formatCode="0">
                  <c:v>1110</c:v>
                </c:pt>
                <c:pt idx="130" formatCode="0">
                  <c:v>761</c:v>
                </c:pt>
                <c:pt idx="131" formatCode="0">
                  <c:v>1040</c:v>
                </c:pt>
                <c:pt idx="132" formatCode="0">
                  <c:v>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7-4FB3-BB61-10624B075699}"/>
            </c:ext>
          </c:extLst>
        </c:ser>
        <c:ser>
          <c:idx val="4"/>
          <c:order val="2"/>
          <c:tx>
            <c:v>12 month Moving Average</c:v>
          </c:tx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Stats'!$O$3:$O$135</c:f>
              <c:numCache>
                <c:formatCode>General</c:formatCode>
                <c:ptCount val="133"/>
                <c:pt idx="14" formatCode="0">
                  <c:v>307.86111111111109</c:v>
                </c:pt>
                <c:pt idx="15" formatCode="0">
                  <c:v>348.58333333333331</c:v>
                </c:pt>
                <c:pt idx="16" formatCode="0">
                  <c:v>387.13888888888886</c:v>
                </c:pt>
                <c:pt idx="17" formatCode="0">
                  <c:v>424.77777777777777</c:v>
                </c:pt>
                <c:pt idx="18" formatCode="0">
                  <c:v>461.72222222222217</c:v>
                </c:pt>
                <c:pt idx="19" formatCode="0">
                  <c:v>505.38888888888891</c:v>
                </c:pt>
                <c:pt idx="20" formatCode="0">
                  <c:v>558.8611111111112</c:v>
                </c:pt>
                <c:pt idx="21" formatCode="0">
                  <c:v>619.41666666666674</c:v>
                </c:pt>
                <c:pt idx="22" formatCode="0">
                  <c:v>681.80555555555566</c:v>
                </c:pt>
                <c:pt idx="23" formatCode="0">
                  <c:v>735.25</c:v>
                </c:pt>
                <c:pt idx="24" formatCode="0">
                  <c:v>785.05555555555566</c:v>
                </c:pt>
                <c:pt idx="25" formatCode="0">
                  <c:v>839.27777777777783</c:v>
                </c:pt>
                <c:pt idx="26" formatCode="0">
                  <c:v>894.44444444444446</c:v>
                </c:pt>
                <c:pt idx="27" formatCode="0">
                  <c:v>949.47222222222217</c:v>
                </c:pt>
                <c:pt idx="28" formatCode="0">
                  <c:v>1005.4166666666666</c:v>
                </c:pt>
                <c:pt idx="29" formatCode="0">
                  <c:v>1065.2222222222224</c:v>
                </c:pt>
                <c:pt idx="30" formatCode="0">
                  <c:v>1126.1111111111111</c:v>
                </c:pt>
                <c:pt idx="31" formatCode="0">
                  <c:v>1174.5555555555554</c:v>
                </c:pt>
                <c:pt idx="32" formatCode="0">
                  <c:v>1206.2777777777778</c:v>
                </c:pt>
                <c:pt idx="33" formatCode="0">
                  <c:v>1220.6666666666667</c:v>
                </c:pt>
                <c:pt idx="34" formatCode="0">
                  <c:v>1226.1666666666667</c:v>
                </c:pt>
                <c:pt idx="35" formatCode="0">
                  <c:v>1239.6111111111111</c:v>
                </c:pt>
                <c:pt idx="36" formatCode="0">
                  <c:v>1264.6111111111111</c:v>
                </c:pt>
                <c:pt idx="37" formatCode="0">
                  <c:v>1282.1388888888889</c:v>
                </c:pt>
                <c:pt idx="38" formatCode="0">
                  <c:v>1291.3611111111111</c:v>
                </c:pt>
                <c:pt idx="39" formatCode="0">
                  <c:v>1298</c:v>
                </c:pt>
                <c:pt idx="40" formatCode="0">
                  <c:v>1296.6666666666665</c:v>
                </c:pt>
                <c:pt idx="41" formatCode="0">
                  <c:v>1283.6388888888887</c:v>
                </c:pt>
                <c:pt idx="42" formatCode="0">
                  <c:v>1252.8055555555554</c:v>
                </c:pt>
                <c:pt idx="43" formatCode="0">
                  <c:v>1216.8333333333333</c:v>
                </c:pt>
                <c:pt idx="44" formatCode="0">
                  <c:v>1187.8611111111111</c:v>
                </c:pt>
                <c:pt idx="45" formatCode="0">
                  <c:v>1171.6111111111111</c:v>
                </c:pt>
                <c:pt idx="46" formatCode="0">
                  <c:v>1169.2222222222224</c:v>
                </c:pt>
                <c:pt idx="47" formatCode="0">
                  <c:v>1158.3611111111111</c:v>
                </c:pt>
                <c:pt idx="48" formatCode="0">
                  <c:v>1143.0277777777778</c:v>
                </c:pt>
                <c:pt idx="49" formatCode="0">
                  <c:v>1130.7777777777778</c:v>
                </c:pt>
                <c:pt idx="50" formatCode="0">
                  <c:v>1137.0555555555557</c:v>
                </c:pt>
                <c:pt idx="51" formatCode="0">
                  <c:v>1157.5555555555557</c:v>
                </c:pt>
                <c:pt idx="52" formatCode="0">
                  <c:v>1198.3055555555554</c:v>
                </c:pt>
                <c:pt idx="53" formatCode="0">
                  <c:v>1247.7222222222219</c:v>
                </c:pt>
                <c:pt idx="54" formatCode="0">
                  <c:v>1299.2499999999998</c:v>
                </c:pt>
                <c:pt idx="55" formatCode="0">
                  <c:v>1337.2777777777776</c:v>
                </c:pt>
                <c:pt idx="56" formatCode="0">
                  <c:v>1364.4722222222219</c:v>
                </c:pt>
                <c:pt idx="57" formatCode="0">
                  <c:v>1373.9722222222219</c:v>
                </c:pt>
                <c:pt idx="58" formatCode="0">
                  <c:v>1374.1388888888887</c:v>
                </c:pt>
                <c:pt idx="59" formatCode="0">
                  <c:v>1371.6111111111111</c:v>
                </c:pt>
                <c:pt idx="60" formatCode="0">
                  <c:v>1371.5833333333333</c:v>
                </c:pt>
                <c:pt idx="61" formatCode="0">
                  <c:v>1375.0277777777781</c:v>
                </c:pt>
                <c:pt idx="62" formatCode="0">
                  <c:v>1387.3611111111113</c:v>
                </c:pt>
                <c:pt idx="63" formatCode="0">
                  <c:v>1388.3333333333337</c:v>
                </c:pt>
                <c:pt idx="64" formatCode="0">
                  <c:v>1385.6666666666667</c:v>
                </c:pt>
                <c:pt idx="65" formatCode="0">
                  <c:v>1373.0277777777781</c:v>
                </c:pt>
                <c:pt idx="66" formatCode="0">
                  <c:v>1375.6388888888887</c:v>
                </c:pt>
                <c:pt idx="67" formatCode="0">
                  <c:v>1387.6944444444443</c:v>
                </c:pt>
                <c:pt idx="68" formatCode="0">
                  <c:v>1398.7222222222219</c:v>
                </c:pt>
                <c:pt idx="69" formatCode="0">
                  <c:v>1410.1944444444446</c:v>
                </c:pt>
                <c:pt idx="70" formatCode="0">
                  <c:v>1418.8055555555557</c:v>
                </c:pt>
                <c:pt idx="71" formatCode="0">
                  <c:v>1431.7777777777781</c:v>
                </c:pt>
                <c:pt idx="72" formatCode="0">
                  <c:v>1436.0833333333337</c:v>
                </c:pt>
                <c:pt idx="73" formatCode="0">
                  <c:v>1437.1388888888889</c:v>
                </c:pt>
                <c:pt idx="74" formatCode="0">
                  <c:v>1433.9444444444443</c:v>
                </c:pt>
                <c:pt idx="75" formatCode="0">
                  <c:v>1443.2222222222219</c:v>
                </c:pt>
                <c:pt idx="76" formatCode="0">
                  <c:v>1449.9444444444443</c:v>
                </c:pt>
                <c:pt idx="77" formatCode="0">
                  <c:v>1454.3333333333333</c:v>
                </c:pt>
                <c:pt idx="78" formatCode="0">
                  <c:v>1448.4722222222224</c:v>
                </c:pt>
                <c:pt idx="79" formatCode="0">
                  <c:v>1449</c:v>
                </c:pt>
                <c:pt idx="80" formatCode="0">
                  <c:v>1453.4166666666667</c:v>
                </c:pt>
                <c:pt idx="81" formatCode="0">
                  <c:v>1456.8888888888887</c:v>
                </c:pt>
                <c:pt idx="82" formatCode="0">
                  <c:v>1454.75</c:v>
                </c:pt>
                <c:pt idx="83" formatCode="0">
                  <c:v>1455.0277777777776</c:v>
                </c:pt>
                <c:pt idx="84" formatCode="0">
                  <c:v>1466.3333333333333</c:v>
                </c:pt>
                <c:pt idx="85" formatCode="0">
                  <c:v>1492</c:v>
                </c:pt>
                <c:pt idx="86" formatCode="0">
                  <c:v>1518.166666666667</c:v>
                </c:pt>
                <c:pt idx="87" formatCode="0">
                  <c:v>1541.1944444444446</c:v>
                </c:pt>
                <c:pt idx="88" formatCode="0">
                  <c:v>1568.6944444444443</c:v>
                </c:pt>
                <c:pt idx="89" formatCode="0">
                  <c:v>1598.4444444444446</c:v>
                </c:pt>
                <c:pt idx="90" formatCode="0">
                  <c:v>1617.5555555555557</c:v>
                </c:pt>
                <c:pt idx="91" formatCode="0">
                  <c:v>1621.6388888888889</c:v>
                </c:pt>
                <c:pt idx="92" formatCode="0">
                  <c:v>1625.1666666666667</c:v>
                </c:pt>
                <c:pt idx="93" formatCode="0">
                  <c:v>1634.8055555555557</c:v>
                </c:pt>
                <c:pt idx="94" formatCode="0">
                  <c:v>1647.1111111111113</c:v>
                </c:pt>
                <c:pt idx="95" formatCode="0">
                  <c:v>1653.4722222222224</c:v>
                </c:pt>
                <c:pt idx="96" formatCode="0">
                  <c:v>1659.2222222222219</c:v>
                </c:pt>
                <c:pt idx="97" formatCode="0">
                  <c:v>1659.8055555555554</c:v>
                </c:pt>
                <c:pt idx="98" formatCode="0">
                  <c:v>1659.1388888888887</c:v>
                </c:pt>
                <c:pt idx="99" formatCode="0">
                  <c:v>1646.6944444444443</c:v>
                </c:pt>
                <c:pt idx="100" formatCode="0">
                  <c:v>1621.4722222222224</c:v>
                </c:pt>
                <c:pt idx="101" formatCode="0">
                  <c:v>1582.75</c:v>
                </c:pt>
                <c:pt idx="102" formatCode="0">
                  <c:v>1554.4444444444443</c:v>
                </c:pt>
                <c:pt idx="103" formatCode="0">
                  <c:v>1549.0277777777776</c:v>
                </c:pt>
                <c:pt idx="104" formatCode="0">
                  <c:v>1551</c:v>
                </c:pt>
                <c:pt idx="105" formatCode="0">
                  <c:v>1545.0833333333333</c:v>
                </c:pt>
                <c:pt idx="106" formatCode="0">
                  <c:v>1506.3888888888889</c:v>
                </c:pt>
                <c:pt idx="107" formatCode="0">
                  <c:v>1452.3333333333333</c:v>
                </c:pt>
                <c:pt idx="108" formatCode="0">
                  <c:v>1388.3611111111113</c:v>
                </c:pt>
                <c:pt idx="109" formatCode="0">
                  <c:v>1322.9722222222224</c:v>
                </c:pt>
                <c:pt idx="110" formatCode="0">
                  <c:v>1256.6666666666667</c:v>
                </c:pt>
                <c:pt idx="111" formatCode="0">
                  <c:v>1190.8055555555554</c:v>
                </c:pt>
                <c:pt idx="112" formatCode="0">
                  <c:v>1133.5833333333333</c:v>
                </c:pt>
                <c:pt idx="113" formatCode="0">
                  <c:v>1088.6944444444446</c:v>
                </c:pt>
                <c:pt idx="114" formatCode="0">
                  <c:v>1044.3611111111111</c:v>
                </c:pt>
                <c:pt idx="115" formatCode="0">
                  <c:v>983.83333333333348</c:v>
                </c:pt>
                <c:pt idx="116" formatCode="0">
                  <c:v>918.50000000000011</c:v>
                </c:pt>
                <c:pt idx="117" formatCode="0">
                  <c:v>866.72222222222229</c:v>
                </c:pt>
                <c:pt idx="118" formatCode="0">
                  <c:v>851.52777777777783</c:v>
                </c:pt>
                <c:pt idx="119" formatCode="0">
                  <c:v>853.58333333333314</c:v>
                </c:pt>
                <c:pt idx="120" formatCode="0">
                  <c:v>860.13888888888869</c:v>
                </c:pt>
                <c:pt idx="121" formatCode="0">
                  <c:v>863.58333333333314</c:v>
                </c:pt>
                <c:pt idx="122" formatCode="0">
                  <c:v>869.11111111111097</c:v>
                </c:pt>
                <c:pt idx="123" formatCode="0">
                  <c:v>880.91666666666663</c:v>
                </c:pt>
                <c:pt idx="124" formatCode="0">
                  <c:v>896.11111111111131</c:v>
                </c:pt>
                <c:pt idx="125" formatCode="0">
                  <c:v>921.80555555555554</c:v>
                </c:pt>
                <c:pt idx="126" formatCode="0">
                  <c:v>955.24999999999989</c:v>
                </c:pt>
                <c:pt idx="127" formatCode="0">
                  <c:v>1004.9722222222222</c:v>
                </c:pt>
                <c:pt idx="128" formatCode="0">
                  <c:v>1062.6111111111111</c:v>
                </c:pt>
                <c:pt idx="129" formatCode="0">
                  <c:v>1129.6944444444446</c:v>
                </c:pt>
                <c:pt idx="130" formatCode="0">
                  <c:v>1182.5277777777778</c:v>
                </c:pt>
                <c:pt idx="131" formatCode="0">
                  <c:v>1237.1944444444446</c:v>
                </c:pt>
                <c:pt idx="132" formatCode="0">
                  <c:v>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67-4FB3-BB61-10624B075699}"/>
            </c:ext>
          </c:extLst>
        </c:ser>
        <c:ser>
          <c:idx val="0"/>
          <c:order val="3"/>
          <c:tx>
            <c:strRef>
              <c:f>'Monthly Stats'!$L$1</c:f>
              <c:strCache>
                <c:ptCount val="1"/>
                <c:pt idx="0">
                  <c:v>Number fed</c:v>
                </c:pt>
              </c:strCache>
            </c:strRef>
          </c:tx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'Monthly Stats'!$A$3:$A$135</c:f>
              <c:numCache>
                <c:formatCode>mmm\-yy</c:formatCode>
                <c:ptCount val="13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  <c:pt idx="115">
                  <c:v>44287</c:v>
                </c:pt>
                <c:pt idx="116">
                  <c:v>44317</c:v>
                </c:pt>
                <c:pt idx="117">
                  <c:v>44348</c:v>
                </c:pt>
                <c:pt idx="118">
                  <c:v>44378</c:v>
                </c:pt>
                <c:pt idx="119">
                  <c:v>44409</c:v>
                </c:pt>
                <c:pt idx="120">
                  <c:v>44440</c:v>
                </c:pt>
                <c:pt idx="121">
                  <c:v>44470</c:v>
                </c:pt>
                <c:pt idx="122">
                  <c:v>44501</c:v>
                </c:pt>
                <c:pt idx="123">
                  <c:v>44531</c:v>
                </c:pt>
                <c:pt idx="124">
                  <c:v>44562</c:v>
                </c:pt>
                <c:pt idx="125">
                  <c:v>44593</c:v>
                </c:pt>
                <c:pt idx="126">
                  <c:v>44621</c:v>
                </c:pt>
                <c:pt idx="127">
                  <c:v>44652</c:v>
                </c:pt>
                <c:pt idx="128">
                  <c:v>44682</c:v>
                </c:pt>
                <c:pt idx="129">
                  <c:v>44713</c:v>
                </c:pt>
                <c:pt idx="130">
                  <c:v>44743</c:v>
                </c:pt>
                <c:pt idx="131">
                  <c:v>44774</c:v>
                </c:pt>
                <c:pt idx="132">
                  <c:v>44805</c:v>
                </c:pt>
              </c:numCache>
            </c:numRef>
          </c:cat>
          <c:val>
            <c:numRef>
              <c:f>'Monthly Stats'!$M$3:$M$135</c:f>
              <c:numCache>
                <c:formatCode>0</c:formatCode>
                <c:ptCount val="133"/>
                <c:pt idx="1">
                  <c:v>18</c:v>
                </c:pt>
                <c:pt idx="2">
                  <c:v>58</c:v>
                </c:pt>
                <c:pt idx="3">
                  <c:v>237</c:v>
                </c:pt>
                <c:pt idx="4">
                  <c:v>130</c:v>
                </c:pt>
                <c:pt idx="5">
                  <c:v>193</c:v>
                </c:pt>
                <c:pt idx="6">
                  <c:v>302</c:v>
                </c:pt>
                <c:pt idx="7">
                  <c:v>239</c:v>
                </c:pt>
                <c:pt idx="8">
                  <c:v>287</c:v>
                </c:pt>
                <c:pt idx="9">
                  <c:v>348</c:v>
                </c:pt>
                <c:pt idx="10">
                  <c:v>464</c:v>
                </c:pt>
                <c:pt idx="11">
                  <c:v>587</c:v>
                </c:pt>
                <c:pt idx="12">
                  <c:v>346</c:v>
                </c:pt>
                <c:pt idx="13">
                  <c:v>495</c:v>
                </c:pt>
                <c:pt idx="14">
                  <c:v>560</c:v>
                </c:pt>
                <c:pt idx="15">
                  <c:v>724</c:v>
                </c:pt>
                <c:pt idx="16">
                  <c:v>529</c:v>
                </c:pt>
                <c:pt idx="17">
                  <c:v>662</c:v>
                </c:pt>
                <c:pt idx="18">
                  <c:v>764</c:v>
                </c:pt>
                <c:pt idx="19">
                  <c:v>880</c:v>
                </c:pt>
                <c:pt idx="20">
                  <c:v>1109</c:v>
                </c:pt>
                <c:pt idx="21">
                  <c:v>1065</c:v>
                </c:pt>
                <c:pt idx="22">
                  <c:v>1171</c:v>
                </c:pt>
                <c:pt idx="23">
                  <c:v>1087</c:v>
                </c:pt>
                <c:pt idx="24">
                  <c:v>932</c:v>
                </c:pt>
                <c:pt idx="25">
                  <c:v>1361</c:v>
                </c:pt>
                <c:pt idx="26">
                  <c:v>1094</c:v>
                </c:pt>
                <c:pt idx="27">
                  <c:v>1305</c:v>
                </c:pt>
                <c:pt idx="28">
                  <c:v>1428</c:v>
                </c:pt>
                <c:pt idx="29">
                  <c:v>1335</c:v>
                </c:pt>
                <c:pt idx="30">
                  <c:v>1384</c:v>
                </c:pt>
                <c:pt idx="31">
                  <c:v>1331</c:v>
                </c:pt>
                <c:pt idx="32">
                  <c:v>1180</c:v>
                </c:pt>
                <c:pt idx="33">
                  <c:v>1061</c:v>
                </c:pt>
                <c:pt idx="34">
                  <c:v>1302</c:v>
                </c:pt>
                <c:pt idx="35">
                  <c:v>1444</c:v>
                </c:pt>
                <c:pt idx="36">
                  <c:v>1344</c:v>
                </c:pt>
                <c:pt idx="37">
                  <c:v>1223</c:v>
                </c:pt>
                <c:pt idx="38">
                  <c:v>1152</c:v>
                </c:pt>
                <c:pt idx="39">
                  <c:v>1624</c:v>
                </c:pt>
                <c:pt idx="40">
                  <c:v>1003</c:v>
                </c:pt>
                <c:pt idx="41">
                  <c:v>972</c:v>
                </c:pt>
                <c:pt idx="42">
                  <c:v>1062</c:v>
                </c:pt>
                <c:pt idx="43">
                  <c:v>721</c:v>
                </c:pt>
                <c:pt idx="44">
                  <c:v>1069</c:v>
                </c:pt>
                <c:pt idx="45">
                  <c:v>1197</c:v>
                </c:pt>
                <c:pt idx="46">
                  <c:v>1191</c:v>
                </c:pt>
                <c:pt idx="47">
                  <c:v>1028</c:v>
                </c:pt>
                <c:pt idx="48">
                  <c:v>1319</c:v>
                </c:pt>
                <c:pt idx="49">
                  <c:v>1223</c:v>
                </c:pt>
                <c:pt idx="50">
                  <c:v>1403</c:v>
                </c:pt>
                <c:pt idx="51">
                  <c:v>2111</c:v>
                </c:pt>
                <c:pt idx="52">
                  <c:v>1732</c:v>
                </c:pt>
                <c:pt idx="53">
                  <c:v>1535</c:v>
                </c:pt>
                <c:pt idx="54">
                  <c:v>1625</c:v>
                </c:pt>
                <c:pt idx="55">
                  <c:v>964</c:v>
                </c:pt>
                <c:pt idx="56">
                  <c:v>1242</c:v>
                </c:pt>
                <c:pt idx="57">
                  <c:v>1123</c:v>
                </c:pt>
                <c:pt idx="58">
                  <c:v>1098</c:v>
                </c:pt>
                <c:pt idx="59">
                  <c:v>1104</c:v>
                </c:pt>
                <c:pt idx="60">
                  <c:v>1335</c:v>
                </c:pt>
                <c:pt idx="61">
                  <c:v>1255</c:v>
                </c:pt>
                <c:pt idx="62">
                  <c:v>1799</c:v>
                </c:pt>
                <c:pt idx="63">
                  <c:v>1718</c:v>
                </c:pt>
                <c:pt idx="64">
                  <c:v>1633</c:v>
                </c:pt>
                <c:pt idx="65">
                  <c:v>1572</c:v>
                </c:pt>
                <c:pt idx="66">
                  <c:v>1781</c:v>
                </c:pt>
                <c:pt idx="67">
                  <c:v>1205</c:v>
                </c:pt>
                <c:pt idx="68">
                  <c:v>1242</c:v>
                </c:pt>
                <c:pt idx="69">
                  <c:v>1295</c:v>
                </c:pt>
                <c:pt idx="70">
                  <c:v>1236</c:v>
                </c:pt>
                <c:pt idx="71">
                  <c:v>1261</c:v>
                </c:pt>
                <c:pt idx="72">
                  <c:v>1195</c:v>
                </c:pt>
                <c:pt idx="73">
                  <c:v>1276</c:v>
                </c:pt>
                <c:pt idx="74">
                  <c:v>1803</c:v>
                </c:pt>
                <c:pt idx="75">
                  <c:v>2027</c:v>
                </c:pt>
                <c:pt idx="76">
                  <c:v>1562</c:v>
                </c:pt>
                <c:pt idx="77">
                  <c:v>1492</c:v>
                </c:pt>
                <c:pt idx="78">
                  <c:v>1721</c:v>
                </c:pt>
                <c:pt idx="79">
                  <c:v>1364</c:v>
                </c:pt>
                <c:pt idx="80">
                  <c:v>1302</c:v>
                </c:pt>
                <c:pt idx="81">
                  <c:v>1201</c:v>
                </c:pt>
                <c:pt idx="82">
                  <c:v>1193</c:v>
                </c:pt>
                <c:pt idx="83">
                  <c:v>1408</c:v>
                </c:pt>
                <c:pt idx="84">
                  <c:v>1498</c:v>
                </c:pt>
                <c:pt idx="85">
                  <c:v>1750</c:v>
                </c:pt>
                <c:pt idx="86">
                  <c:v>1968</c:v>
                </c:pt>
                <c:pt idx="87">
                  <c:v>2217</c:v>
                </c:pt>
                <c:pt idx="88">
                  <c:v>2197</c:v>
                </c:pt>
                <c:pt idx="89">
                  <c:v>1738</c:v>
                </c:pt>
                <c:pt idx="90">
                  <c:v>1528</c:v>
                </c:pt>
                <c:pt idx="91">
                  <c:v>1458</c:v>
                </c:pt>
                <c:pt idx="92">
                  <c:v>1528</c:v>
                </c:pt>
                <c:pt idx="93">
                  <c:v>1228</c:v>
                </c:pt>
                <c:pt idx="94">
                  <c:v>1383</c:v>
                </c:pt>
                <c:pt idx="95">
                  <c:v>1420</c:v>
                </c:pt>
                <c:pt idx="96">
                  <c:v>1503</c:v>
                </c:pt>
                <c:pt idx="97">
                  <c:v>1754</c:v>
                </c:pt>
                <c:pt idx="98">
                  <c:v>1935</c:v>
                </c:pt>
                <c:pt idx="99">
                  <c:v>1798</c:v>
                </c:pt>
                <c:pt idx="100">
                  <c:v>1741</c:v>
                </c:pt>
                <c:pt idx="101">
                  <c:v>1219</c:v>
                </c:pt>
                <c:pt idx="102">
                  <c:v>1484</c:v>
                </c:pt>
                <c:pt idx="103">
                  <c:v>1826</c:v>
                </c:pt>
                <c:pt idx="104">
                  <c:v>1275</c:v>
                </c:pt>
                <c:pt idx="105">
                  <c:v>900</c:v>
                </c:pt>
                <c:pt idx="106">
                  <c:v>571</c:v>
                </c:pt>
                <c:pt idx="107">
                  <c:v>614</c:v>
                </c:pt>
                <c:pt idx="108">
                  <c:v>818</c:v>
                </c:pt>
                <c:pt idx="109">
                  <c:v>891</c:v>
                </c:pt>
                <c:pt idx="110">
                  <c:v>1096</c:v>
                </c:pt>
                <c:pt idx="111">
                  <c:v>1129</c:v>
                </c:pt>
                <c:pt idx="112">
                  <c:v>1189</c:v>
                </c:pt>
                <c:pt idx="113">
                  <c:v>824</c:v>
                </c:pt>
                <c:pt idx="114">
                  <c:v>835</c:v>
                </c:pt>
                <c:pt idx="115">
                  <c:v>691</c:v>
                </c:pt>
                <c:pt idx="116">
                  <c:v>707</c:v>
                </c:pt>
                <c:pt idx="117">
                  <c:v>739</c:v>
                </c:pt>
                <c:pt idx="118">
                  <c:v>753</c:v>
                </c:pt>
                <c:pt idx="119">
                  <c:v>667</c:v>
                </c:pt>
                <c:pt idx="120">
                  <c:v>819</c:v>
                </c:pt>
                <c:pt idx="121">
                  <c:v>961</c:v>
                </c:pt>
                <c:pt idx="122">
                  <c:v>1224</c:v>
                </c:pt>
                <c:pt idx="123">
                  <c:v>1356</c:v>
                </c:pt>
                <c:pt idx="124">
                  <c:v>1381</c:v>
                </c:pt>
                <c:pt idx="125">
                  <c:v>1330</c:v>
                </c:pt>
                <c:pt idx="126">
                  <c:v>1341</c:v>
                </c:pt>
                <c:pt idx="127">
                  <c:v>1469</c:v>
                </c:pt>
                <c:pt idx="128">
                  <c:v>1498</c:v>
                </c:pt>
                <c:pt idx="129">
                  <c:v>1585</c:v>
                </c:pt>
                <c:pt idx="130">
                  <c:v>1018</c:v>
                </c:pt>
                <c:pt idx="131">
                  <c:v>1524</c:v>
                </c:pt>
                <c:pt idx="132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7-4FB3-BB61-10624B075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6832"/>
        <c:axId val="82778752"/>
      </c:lineChart>
      <c:dateAx>
        <c:axId val="82776832"/>
        <c:scaling>
          <c:orientation val="minMax"/>
          <c:max val="44805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78752"/>
        <c:crossesAt val="0"/>
        <c:auto val="0"/>
        <c:lblOffset val="100"/>
        <c:baseTimeUnit val="months"/>
        <c:majorUnit val="3"/>
        <c:minorUnit val="3"/>
      </c:dateAx>
      <c:valAx>
        <c:axId val="82778752"/>
        <c:scaling>
          <c:orientation val="minMax"/>
        </c:scaling>
        <c:delete val="0"/>
        <c:axPos val="r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7683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50506389227635"/>
          <c:y val="0.14673939003656808"/>
          <c:w val="0.21113186728271038"/>
          <c:h val="0.2017118843647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3000000000000056" l="0.37000000000000027" r="0.4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Stock Level</a:t>
            </a:r>
          </a:p>
        </c:rich>
      </c:tx>
      <c:layout>
        <c:manualLayout>
          <c:xMode val="edge"/>
          <c:yMode val="edge"/>
          <c:x val="0.41893865798420771"/>
          <c:y val="3.3240802526802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50457140855435E-2"/>
          <c:y val="0.15680415748811391"/>
          <c:w val="0.90706812658156055"/>
          <c:h val="0.654173265914063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'Monthly Stats'!$A$3:$A$117</c:f>
              <c:numCache>
                <c:formatCode>mmm\-yy</c:formatCode>
                <c:ptCount val="11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</c:numCache>
            </c:numRef>
          </c:cat>
          <c:val>
            <c:numRef>
              <c:f>'Monthly Stats'!$G$3:$G$117</c:f>
              <c:numCache>
                <c:formatCode>General</c:formatCode>
                <c:ptCount val="115"/>
                <c:pt idx="0">
                  <c:v>1877</c:v>
                </c:pt>
                <c:pt idx="1">
                  <c:v>3280</c:v>
                </c:pt>
                <c:pt idx="2">
                  <c:v>5214</c:v>
                </c:pt>
                <c:pt idx="3">
                  <c:v>3447</c:v>
                </c:pt>
                <c:pt idx="4">
                  <c:v>2706</c:v>
                </c:pt>
                <c:pt idx="5">
                  <c:v>2676</c:v>
                </c:pt>
                <c:pt idx="6">
                  <c:v>2945</c:v>
                </c:pt>
                <c:pt idx="7">
                  <c:v>2340</c:v>
                </c:pt>
                <c:pt idx="8">
                  <c:v>1937</c:v>
                </c:pt>
                <c:pt idx="9">
                  <c:v>1226</c:v>
                </c:pt>
                <c:pt idx="10">
                  <c:v>1333</c:v>
                </c:pt>
                <c:pt idx="11">
                  <c:v>1617</c:v>
                </c:pt>
                <c:pt idx="12">
                  <c:v>833</c:v>
                </c:pt>
                <c:pt idx="13">
                  <c:v>8194</c:v>
                </c:pt>
                <c:pt idx="14">
                  <c:v>9006</c:v>
                </c:pt>
                <c:pt idx="15">
                  <c:v>11312</c:v>
                </c:pt>
                <c:pt idx="16">
                  <c:v>9370</c:v>
                </c:pt>
                <c:pt idx="17">
                  <c:v>7628</c:v>
                </c:pt>
                <c:pt idx="18">
                  <c:v>5621</c:v>
                </c:pt>
                <c:pt idx="19">
                  <c:v>4819</c:v>
                </c:pt>
                <c:pt idx="20">
                  <c:v>4187</c:v>
                </c:pt>
                <c:pt idx="21">
                  <c:v>2092</c:v>
                </c:pt>
                <c:pt idx="22">
                  <c:v>4440</c:v>
                </c:pt>
                <c:pt idx="23">
                  <c:v>5467</c:v>
                </c:pt>
                <c:pt idx="24">
                  <c:v>3933</c:v>
                </c:pt>
                <c:pt idx="25">
                  <c:v>9296</c:v>
                </c:pt>
                <c:pt idx="26">
                  <c:v>7747</c:v>
                </c:pt>
                <c:pt idx="27">
                  <c:v>15404</c:v>
                </c:pt>
                <c:pt idx="28">
                  <c:v>11715</c:v>
                </c:pt>
                <c:pt idx="29">
                  <c:v>12294</c:v>
                </c:pt>
                <c:pt idx="30">
                  <c:v>11201</c:v>
                </c:pt>
                <c:pt idx="31">
                  <c:v>9563</c:v>
                </c:pt>
                <c:pt idx="32">
                  <c:v>9405</c:v>
                </c:pt>
                <c:pt idx="33">
                  <c:v>9962</c:v>
                </c:pt>
                <c:pt idx="34">
                  <c:v>12478</c:v>
                </c:pt>
                <c:pt idx="35">
                  <c:v>10729</c:v>
                </c:pt>
                <c:pt idx="36">
                  <c:v>10588</c:v>
                </c:pt>
                <c:pt idx="37">
                  <c:v>16440</c:v>
                </c:pt>
                <c:pt idx="38">
                  <c:v>23905</c:v>
                </c:pt>
                <c:pt idx="39">
                  <c:v>20459</c:v>
                </c:pt>
                <c:pt idx="40">
                  <c:v>21619</c:v>
                </c:pt>
                <c:pt idx="41">
                  <c:v>21602</c:v>
                </c:pt>
                <c:pt idx="42">
                  <c:v>17048</c:v>
                </c:pt>
                <c:pt idx="43">
                  <c:v>13595</c:v>
                </c:pt>
                <c:pt idx="44">
                  <c:v>14886</c:v>
                </c:pt>
                <c:pt idx="45">
                  <c:v>10725</c:v>
                </c:pt>
                <c:pt idx="46">
                  <c:v>15546</c:v>
                </c:pt>
                <c:pt idx="47">
                  <c:v>12571</c:v>
                </c:pt>
                <c:pt idx="48">
                  <c:v>6397</c:v>
                </c:pt>
                <c:pt idx="49">
                  <c:v>9903</c:v>
                </c:pt>
                <c:pt idx="50">
                  <c:v>8084</c:v>
                </c:pt>
                <c:pt idx="51">
                  <c:v>14013</c:v>
                </c:pt>
                <c:pt idx="52">
                  <c:v>10185</c:v>
                </c:pt>
                <c:pt idx="53">
                  <c:v>4913</c:v>
                </c:pt>
                <c:pt idx="54">
                  <c:v>4474</c:v>
                </c:pt>
                <c:pt idx="55">
                  <c:v>3866</c:v>
                </c:pt>
                <c:pt idx="56">
                  <c:v>2204</c:v>
                </c:pt>
                <c:pt idx="57">
                  <c:v>7419</c:v>
                </c:pt>
                <c:pt idx="58">
                  <c:v>14879</c:v>
                </c:pt>
                <c:pt idx="59">
                  <c:v>12088</c:v>
                </c:pt>
                <c:pt idx="60">
                  <c:v>10675</c:v>
                </c:pt>
                <c:pt idx="61">
                  <c:v>17932</c:v>
                </c:pt>
                <c:pt idx="62">
                  <c:v>16686</c:v>
                </c:pt>
                <c:pt idx="63">
                  <c:v>29898</c:v>
                </c:pt>
                <c:pt idx="64">
                  <c:v>29437</c:v>
                </c:pt>
                <c:pt idx="65">
                  <c:v>26229</c:v>
                </c:pt>
                <c:pt idx="66">
                  <c:v>22246</c:v>
                </c:pt>
                <c:pt idx="67">
                  <c:v>20005</c:v>
                </c:pt>
                <c:pt idx="68">
                  <c:v>19173</c:v>
                </c:pt>
                <c:pt idx="69">
                  <c:v>18697</c:v>
                </c:pt>
                <c:pt idx="70">
                  <c:v>16610</c:v>
                </c:pt>
                <c:pt idx="71">
                  <c:v>15795</c:v>
                </c:pt>
                <c:pt idx="72">
                  <c:v>17812</c:v>
                </c:pt>
                <c:pt idx="73">
                  <c:v>27000</c:v>
                </c:pt>
                <c:pt idx="74">
                  <c:v>32255</c:v>
                </c:pt>
                <c:pt idx="75">
                  <c:v>40358</c:v>
                </c:pt>
                <c:pt idx="76">
                  <c:v>39073</c:v>
                </c:pt>
                <c:pt idx="77">
                  <c:v>37818</c:v>
                </c:pt>
                <c:pt idx="78">
                  <c:v>33140</c:v>
                </c:pt>
                <c:pt idx="79">
                  <c:v>30232</c:v>
                </c:pt>
                <c:pt idx="80">
                  <c:v>27667</c:v>
                </c:pt>
                <c:pt idx="81">
                  <c:v>23953</c:v>
                </c:pt>
                <c:pt idx="82">
                  <c:v>24801</c:v>
                </c:pt>
                <c:pt idx="83">
                  <c:v>22036</c:v>
                </c:pt>
                <c:pt idx="84">
                  <c:v>17753</c:v>
                </c:pt>
                <c:pt idx="85">
                  <c:v>22436</c:v>
                </c:pt>
                <c:pt idx="86">
                  <c:v>21810</c:v>
                </c:pt>
                <c:pt idx="87">
                  <c:v>39246</c:v>
                </c:pt>
                <c:pt idx="88">
                  <c:v>36597</c:v>
                </c:pt>
                <c:pt idx="89">
                  <c:v>32378</c:v>
                </c:pt>
                <c:pt idx="90">
                  <c:v>30818</c:v>
                </c:pt>
                <c:pt idx="91">
                  <c:v>26228</c:v>
                </c:pt>
                <c:pt idx="92">
                  <c:v>23307</c:v>
                </c:pt>
                <c:pt idx="93">
                  <c:v>20741</c:v>
                </c:pt>
                <c:pt idx="94">
                  <c:v>17065</c:v>
                </c:pt>
                <c:pt idx="95">
                  <c:v>14967</c:v>
                </c:pt>
                <c:pt idx="96">
                  <c:v>16430</c:v>
                </c:pt>
                <c:pt idx="97">
                  <c:v>21120</c:v>
                </c:pt>
                <c:pt idx="98">
                  <c:v>31573</c:v>
                </c:pt>
                <c:pt idx="99">
                  <c:v>51265</c:v>
                </c:pt>
                <c:pt idx="100" formatCode="0">
                  <c:v>48290.96</c:v>
                </c:pt>
                <c:pt idx="101" formatCode="0">
                  <c:v>45574.909999999996</c:v>
                </c:pt>
                <c:pt idx="102" formatCode="0">
                  <c:v>43894.93</c:v>
                </c:pt>
                <c:pt idx="103" formatCode="0">
                  <c:v>38010.149999999994</c:v>
                </c:pt>
                <c:pt idx="104" formatCode="0">
                  <c:v>44311.899999999994</c:v>
                </c:pt>
                <c:pt idx="105" formatCode="0">
                  <c:v>55875.62999999999</c:v>
                </c:pt>
                <c:pt idx="106" formatCode="0">
                  <c:v>60011.469999999987</c:v>
                </c:pt>
                <c:pt idx="107" formatCode="0">
                  <c:v>35271.149999999994</c:v>
                </c:pt>
                <c:pt idx="108" formatCode="0">
                  <c:v>37823.189999999988</c:v>
                </c:pt>
                <c:pt idx="109" formatCode="0">
                  <c:v>37882.669999999984</c:v>
                </c:pt>
                <c:pt idx="110" formatCode="0">
                  <c:v>45129.82999999998</c:v>
                </c:pt>
                <c:pt idx="111" formatCode="0">
                  <c:v>60134.059999999983</c:v>
                </c:pt>
                <c:pt idx="112" formatCode="0">
                  <c:v>59030.079999999973</c:v>
                </c:pt>
                <c:pt idx="113" formatCode="0">
                  <c:v>61820.969999999972</c:v>
                </c:pt>
                <c:pt idx="114" formatCode="0">
                  <c:v>63945.469999999979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5-4569-8821-3030E95E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98848"/>
        <c:axId val="82808832"/>
      </c:lineChart>
      <c:dateAx>
        <c:axId val="82798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08832"/>
        <c:crosses val="autoZero"/>
        <c:auto val="1"/>
        <c:lblOffset val="100"/>
        <c:baseTimeUnit val="months"/>
        <c:minorUnit val="1"/>
        <c:minorTimeUnit val="months"/>
      </c:dateAx>
      <c:valAx>
        <c:axId val="8280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(Kg)</a:t>
                </a:r>
              </a:p>
            </c:rich>
          </c:tx>
          <c:layout>
            <c:manualLayout>
              <c:xMode val="edge"/>
              <c:yMode val="edge"/>
              <c:x val="7.1733944649323891E-3"/>
              <c:y val="0.42382312380443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98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Distribution Points</a:t>
            </a:r>
          </a:p>
        </c:rich>
      </c:tx>
      <c:layout>
        <c:manualLayout>
          <c:xMode val="edge"/>
          <c:yMode val="edge"/>
          <c:x val="0.390146890759826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31831020283242E-2"/>
          <c:y val="0.20381406436233629"/>
          <c:w val="0.90463540893700711"/>
          <c:h val="0.61144219308700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'Monthly Stats'!$A$7:$A$117</c:f>
              <c:numCache>
                <c:formatCode>mmm\-yy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</c:numCache>
            </c:numRef>
          </c:cat>
          <c:val>
            <c:numRef>
              <c:f>'Monthly Stats'!$B$7:$B$117</c:f>
              <c:numCache>
                <c:formatCode>0</c:formatCode>
                <c:ptCount val="11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24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27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27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28</c:v>
                </c:pt>
                <c:pt idx="90">
                  <c:v>28</c:v>
                </c:pt>
                <c:pt idx="91">
                  <c:v>28</c:v>
                </c:pt>
                <c:pt idx="92">
                  <c:v>28</c:v>
                </c:pt>
                <c:pt idx="93">
                  <c:v>28</c:v>
                </c:pt>
                <c:pt idx="94">
                  <c:v>27</c:v>
                </c:pt>
                <c:pt idx="95">
                  <c:v>27</c:v>
                </c:pt>
                <c:pt idx="96">
                  <c:v>27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1-4092-A5AE-F1C048EE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5744"/>
        <c:axId val="82977920"/>
      </c:lineChart>
      <c:dateAx>
        <c:axId val="82975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779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297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975744"/>
        <c:crosses val="autoZero"/>
        <c:crossBetween val="between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600"/>
              <a:t>County Durham Foodbank People fed per month</a:t>
            </a:r>
          </a:p>
        </c:rich>
      </c:tx>
      <c:layout>
        <c:manualLayout>
          <c:xMode val="edge"/>
          <c:yMode val="edge"/>
          <c:x val="0.16062326584176978"/>
          <c:y val="6.9271810636930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2710883678104"/>
          <c:y val="0.16371878553440442"/>
          <c:w val="0.84056416330030559"/>
          <c:h val="0.65903824249983711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Stats'!$L$1</c:f>
              <c:strCache>
                <c:ptCount val="1"/>
                <c:pt idx="0">
                  <c:v>Number fed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'Monthly Stats'!$A$3:$A$117</c:f>
              <c:numCache>
                <c:formatCode>mmm\-yy</c:formatCode>
                <c:ptCount val="11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</c:numCache>
            </c:numRef>
          </c:cat>
          <c:val>
            <c:numRef>
              <c:f>'Monthly Stats'!$M$3:$M$117</c:f>
              <c:numCache>
                <c:formatCode>0</c:formatCode>
                <c:ptCount val="115"/>
                <c:pt idx="1">
                  <c:v>18</c:v>
                </c:pt>
                <c:pt idx="2">
                  <c:v>58</c:v>
                </c:pt>
                <c:pt idx="3">
                  <c:v>237</c:v>
                </c:pt>
                <c:pt idx="4">
                  <c:v>130</c:v>
                </c:pt>
                <c:pt idx="5">
                  <c:v>193</c:v>
                </c:pt>
                <c:pt idx="6">
                  <c:v>302</c:v>
                </c:pt>
                <c:pt idx="7">
                  <c:v>239</c:v>
                </c:pt>
                <c:pt idx="8">
                  <c:v>287</c:v>
                </c:pt>
                <c:pt idx="9">
                  <c:v>348</c:v>
                </c:pt>
                <c:pt idx="10">
                  <c:v>464</c:v>
                </c:pt>
                <c:pt idx="11">
                  <c:v>587</c:v>
                </c:pt>
                <c:pt idx="12">
                  <c:v>346</c:v>
                </c:pt>
                <c:pt idx="13">
                  <c:v>495</c:v>
                </c:pt>
                <c:pt idx="14">
                  <c:v>560</c:v>
                </c:pt>
                <c:pt idx="15">
                  <c:v>724</c:v>
                </c:pt>
                <c:pt idx="16">
                  <c:v>529</c:v>
                </c:pt>
                <c:pt idx="17">
                  <c:v>662</c:v>
                </c:pt>
                <c:pt idx="18">
                  <c:v>764</c:v>
                </c:pt>
                <c:pt idx="19">
                  <c:v>880</c:v>
                </c:pt>
                <c:pt idx="20">
                  <c:v>1109</c:v>
                </c:pt>
                <c:pt idx="21">
                  <c:v>1065</c:v>
                </c:pt>
                <c:pt idx="22">
                  <c:v>1171</c:v>
                </c:pt>
                <c:pt idx="23">
                  <c:v>1087</c:v>
                </c:pt>
                <c:pt idx="24">
                  <c:v>932</c:v>
                </c:pt>
                <c:pt idx="25">
                  <c:v>1361</c:v>
                </c:pt>
                <c:pt idx="26">
                  <c:v>1094</c:v>
                </c:pt>
                <c:pt idx="27">
                  <c:v>1305</c:v>
                </c:pt>
                <c:pt idx="28">
                  <c:v>1428</c:v>
                </c:pt>
                <c:pt idx="29">
                  <c:v>1335</c:v>
                </c:pt>
                <c:pt idx="30">
                  <c:v>1384</c:v>
                </c:pt>
                <c:pt idx="31">
                  <c:v>1331</c:v>
                </c:pt>
                <c:pt idx="32">
                  <c:v>1180</c:v>
                </c:pt>
                <c:pt idx="33">
                  <c:v>1061</c:v>
                </c:pt>
                <c:pt idx="34">
                  <c:v>1302</c:v>
                </c:pt>
                <c:pt idx="35">
                  <c:v>1444</c:v>
                </c:pt>
                <c:pt idx="36">
                  <c:v>1344</c:v>
                </c:pt>
                <c:pt idx="37">
                  <c:v>1223</c:v>
                </c:pt>
                <c:pt idx="38">
                  <c:v>1152</c:v>
                </c:pt>
                <c:pt idx="39">
                  <c:v>1624</c:v>
                </c:pt>
                <c:pt idx="40">
                  <c:v>1003</c:v>
                </c:pt>
                <c:pt idx="41">
                  <c:v>972</c:v>
                </c:pt>
                <c:pt idx="42">
                  <c:v>1062</c:v>
                </c:pt>
                <c:pt idx="43">
                  <c:v>721</c:v>
                </c:pt>
                <c:pt idx="44">
                  <c:v>1069</c:v>
                </c:pt>
                <c:pt idx="45">
                  <c:v>1197</c:v>
                </c:pt>
                <c:pt idx="46">
                  <c:v>1191</c:v>
                </c:pt>
                <c:pt idx="47">
                  <c:v>1028</c:v>
                </c:pt>
                <c:pt idx="48">
                  <c:v>1319</c:v>
                </c:pt>
                <c:pt idx="49">
                  <c:v>1223</c:v>
                </c:pt>
                <c:pt idx="50">
                  <c:v>1403</c:v>
                </c:pt>
                <c:pt idx="51">
                  <c:v>2111</c:v>
                </c:pt>
                <c:pt idx="52">
                  <c:v>1732</c:v>
                </c:pt>
                <c:pt idx="53">
                  <c:v>1535</c:v>
                </c:pt>
                <c:pt idx="54">
                  <c:v>1625</c:v>
                </c:pt>
                <c:pt idx="55">
                  <c:v>964</c:v>
                </c:pt>
                <c:pt idx="56">
                  <c:v>1242</c:v>
                </c:pt>
                <c:pt idx="57">
                  <c:v>1123</c:v>
                </c:pt>
                <c:pt idx="58">
                  <c:v>1098</c:v>
                </c:pt>
                <c:pt idx="59">
                  <c:v>1104</c:v>
                </c:pt>
                <c:pt idx="60">
                  <c:v>1335</c:v>
                </c:pt>
                <c:pt idx="61">
                  <c:v>1255</c:v>
                </c:pt>
                <c:pt idx="62">
                  <c:v>1799</c:v>
                </c:pt>
                <c:pt idx="63">
                  <c:v>1718</c:v>
                </c:pt>
                <c:pt idx="64">
                  <c:v>1633</c:v>
                </c:pt>
                <c:pt idx="65">
                  <c:v>1572</c:v>
                </c:pt>
                <c:pt idx="66">
                  <c:v>1781</c:v>
                </c:pt>
                <c:pt idx="67">
                  <c:v>1205</c:v>
                </c:pt>
                <c:pt idx="68">
                  <c:v>1242</c:v>
                </c:pt>
                <c:pt idx="69">
                  <c:v>1295</c:v>
                </c:pt>
                <c:pt idx="70">
                  <c:v>1236</c:v>
                </c:pt>
                <c:pt idx="71">
                  <c:v>1261</c:v>
                </c:pt>
                <c:pt idx="72">
                  <c:v>1195</c:v>
                </c:pt>
                <c:pt idx="73">
                  <c:v>1276</c:v>
                </c:pt>
                <c:pt idx="74">
                  <c:v>1803</c:v>
                </c:pt>
                <c:pt idx="75">
                  <c:v>2027</c:v>
                </c:pt>
                <c:pt idx="76">
                  <c:v>1562</c:v>
                </c:pt>
                <c:pt idx="77">
                  <c:v>1492</c:v>
                </c:pt>
                <c:pt idx="78">
                  <c:v>1721</c:v>
                </c:pt>
                <c:pt idx="79">
                  <c:v>1364</c:v>
                </c:pt>
                <c:pt idx="80">
                  <c:v>1302</c:v>
                </c:pt>
                <c:pt idx="81">
                  <c:v>1201</c:v>
                </c:pt>
                <c:pt idx="82">
                  <c:v>1193</c:v>
                </c:pt>
                <c:pt idx="83">
                  <c:v>1408</c:v>
                </c:pt>
                <c:pt idx="84">
                  <c:v>1498</c:v>
                </c:pt>
                <c:pt idx="85">
                  <c:v>1750</c:v>
                </c:pt>
                <c:pt idx="86">
                  <c:v>1968</c:v>
                </c:pt>
                <c:pt idx="87">
                  <c:v>2217</c:v>
                </c:pt>
                <c:pt idx="88">
                  <c:v>2197</c:v>
                </c:pt>
                <c:pt idx="89">
                  <c:v>1738</c:v>
                </c:pt>
                <c:pt idx="90">
                  <c:v>1528</c:v>
                </c:pt>
                <c:pt idx="91">
                  <c:v>1458</c:v>
                </c:pt>
                <c:pt idx="92">
                  <c:v>1528</c:v>
                </c:pt>
                <c:pt idx="93">
                  <c:v>1228</c:v>
                </c:pt>
                <c:pt idx="94">
                  <c:v>1383</c:v>
                </c:pt>
                <c:pt idx="95">
                  <c:v>1420</c:v>
                </c:pt>
                <c:pt idx="96">
                  <c:v>1503</c:v>
                </c:pt>
                <c:pt idx="97">
                  <c:v>1754</c:v>
                </c:pt>
                <c:pt idx="98">
                  <c:v>1935</c:v>
                </c:pt>
                <c:pt idx="99">
                  <c:v>1798</c:v>
                </c:pt>
                <c:pt idx="100">
                  <c:v>1741</c:v>
                </c:pt>
                <c:pt idx="101">
                  <c:v>1219</c:v>
                </c:pt>
                <c:pt idx="102">
                  <c:v>1484</c:v>
                </c:pt>
                <c:pt idx="103">
                  <c:v>1826</c:v>
                </c:pt>
                <c:pt idx="104">
                  <c:v>1275</c:v>
                </c:pt>
                <c:pt idx="105">
                  <c:v>900</c:v>
                </c:pt>
                <c:pt idx="106">
                  <c:v>571</c:v>
                </c:pt>
                <c:pt idx="107">
                  <c:v>614</c:v>
                </c:pt>
                <c:pt idx="108">
                  <c:v>818</c:v>
                </c:pt>
                <c:pt idx="109">
                  <c:v>891</c:v>
                </c:pt>
                <c:pt idx="110">
                  <c:v>1096</c:v>
                </c:pt>
                <c:pt idx="111">
                  <c:v>1129</c:v>
                </c:pt>
                <c:pt idx="112">
                  <c:v>1189</c:v>
                </c:pt>
                <c:pt idx="113">
                  <c:v>824</c:v>
                </c:pt>
                <c:pt idx="114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3-4786-8433-19299EEE8E86}"/>
            </c:ext>
          </c:extLst>
        </c:ser>
        <c:ser>
          <c:idx val="1"/>
          <c:order val="1"/>
          <c:tx>
            <c:v>3 Mth Ave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'Monthly Stats'!$A$3:$A$117</c:f>
              <c:numCache>
                <c:formatCode>mmm\-yy</c:formatCode>
                <c:ptCount val="11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</c:numCache>
            </c:numRef>
          </c:cat>
          <c:val>
            <c:numRef>
              <c:f>'Monthly Stats'!$N$3:$N$117</c:f>
              <c:numCache>
                <c:formatCode>General</c:formatCode>
                <c:ptCount val="115"/>
                <c:pt idx="3" formatCode="0">
                  <c:v>104.33333333333333</c:v>
                </c:pt>
                <c:pt idx="4" formatCode="0">
                  <c:v>141.66666666666666</c:v>
                </c:pt>
                <c:pt idx="5" formatCode="0">
                  <c:v>186.66666666666666</c:v>
                </c:pt>
                <c:pt idx="6" formatCode="0">
                  <c:v>208.33333333333334</c:v>
                </c:pt>
                <c:pt idx="7" formatCode="0">
                  <c:v>244.66666666666666</c:v>
                </c:pt>
                <c:pt idx="8" formatCode="0">
                  <c:v>276</c:v>
                </c:pt>
                <c:pt idx="9" formatCode="0">
                  <c:v>291.33333333333331</c:v>
                </c:pt>
                <c:pt idx="10" formatCode="0">
                  <c:v>366.33333333333331</c:v>
                </c:pt>
                <c:pt idx="11" formatCode="0">
                  <c:v>466.33333333333331</c:v>
                </c:pt>
                <c:pt idx="12" formatCode="0">
                  <c:v>465.66666666666669</c:v>
                </c:pt>
                <c:pt idx="13" formatCode="0">
                  <c:v>476</c:v>
                </c:pt>
                <c:pt idx="14" formatCode="0">
                  <c:v>467</c:v>
                </c:pt>
                <c:pt idx="15" formatCode="0">
                  <c:v>593</c:v>
                </c:pt>
                <c:pt idx="16" formatCode="0">
                  <c:v>604.33333333333337</c:v>
                </c:pt>
                <c:pt idx="17" formatCode="0">
                  <c:v>638.33333333333337</c:v>
                </c:pt>
                <c:pt idx="18" formatCode="0">
                  <c:v>651.66666666666663</c:v>
                </c:pt>
                <c:pt idx="19" formatCode="0">
                  <c:v>768.66666666666663</c:v>
                </c:pt>
                <c:pt idx="20" formatCode="0">
                  <c:v>917.66666666666663</c:v>
                </c:pt>
                <c:pt idx="21" formatCode="0">
                  <c:v>1018</c:v>
                </c:pt>
                <c:pt idx="22" formatCode="0">
                  <c:v>1115</c:v>
                </c:pt>
                <c:pt idx="23" formatCode="0">
                  <c:v>1107.6666666666667</c:v>
                </c:pt>
                <c:pt idx="24" formatCode="0">
                  <c:v>1063.3333333333333</c:v>
                </c:pt>
                <c:pt idx="25" formatCode="0">
                  <c:v>1126.6666666666667</c:v>
                </c:pt>
                <c:pt idx="26" formatCode="0">
                  <c:v>1129</c:v>
                </c:pt>
                <c:pt idx="27" formatCode="0">
                  <c:v>1253.3333333333333</c:v>
                </c:pt>
                <c:pt idx="28" formatCode="0">
                  <c:v>1275.6666666666667</c:v>
                </c:pt>
                <c:pt idx="29" formatCode="0">
                  <c:v>1356</c:v>
                </c:pt>
                <c:pt idx="30" formatCode="0">
                  <c:v>1382.3333333333333</c:v>
                </c:pt>
                <c:pt idx="31" formatCode="0">
                  <c:v>1350</c:v>
                </c:pt>
                <c:pt idx="32" formatCode="0">
                  <c:v>1298.3333333333333</c:v>
                </c:pt>
                <c:pt idx="33" formatCode="0">
                  <c:v>1190.6666666666667</c:v>
                </c:pt>
                <c:pt idx="34" formatCode="0">
                  <c:v>1181</c:v>
                </c:pt>
                <c:pt idx="35" formatCode="0">
                  <c:v>1269</c:v>
                </c:pt>
                <c:pt idx="36" formatCode="0">
                  <c:v>1363.3333333333333</c:v>
                </c:pt>
                <c:pt idx="37" formatCode="0">
                  <c:v>1337</c:v>
                </c:pt>
                <c:pt idx="38" formatCode="0">
                  <c:v>1239.6666666666667</c:v>
                </c:pt>
                <c:pt idx="39" formatCode="0">
                  <c:v>1333</c:v>
                </c:pt>
                <c:pt idx="40" formatCode="0">
                  <c:v>1259.6666666666667</c:v>
                </c:pt>
                <c:pt idx="41" formatCode="0">
                  <c:v>1199.6666666666667</c:v>
                </c:pt>
                <c:pt idx="42" formatCode="0">
                  <c:v>1012.3333333333334</c:v>
                </c:pt>
                <c:pt idx="43" formatCode="0">
                  <c:v>918.33333333333337</c:v>
                </c:pt>
                <c:pt idx="44" formatCode="0">
                  <c:v>950.66666666666663</c:v>
                </c:pt>
                <c:pt idx="45" formatCode="0">
                  <c:v>995.66666666666663</c:v>
                </c:pt>
                <c:pt idx="46" formatCode="0">
                  <c:v>1152.3333333333333</c:v>
                </c:pt>
                <c:pt idx="47" formatCode="0">
                  <c:v>1138.6666666666667</c:v>
                </c:pt>
                <c:pt idx="48" formatCode="0">
                  <c:v>1179.3333333333333</c:v>
                </c:pt>
                <c:pt idx="49" formatCode="0">
                  <c:v>1190</c:v>
                </c:pt>
                <c:pt idx="50" formatCode="0">
                  <c:v>1315</c:v>
                </c:pt>
                <c:pt idx="51" formatCode="0">
                  <c:v>1579</c:v>
                </c:pt>
                <c:pt idx="52" formatCode="0">
                  <c:v>1748.6666666666667</c:v>
                </c:pt>
                <c:pt idx="53" formatCode="0">
                  <c:v>1792.6666666666667</c:v>
                </c:pt>
                <c:pt idx="54" formatCode="0">
                  <c:v>1630.6666666666667</c:v>
                </c:pt>
                <c:pt idx="55" formatCode="0">
                  <c:v>1374.6666666666667</c:v>
                </c:pt>
                <c:pt idx="56" formatCode="0">
                  <c:v>1277</c:v>
                </c:pt>
                <c:pt idx="57" formatCode="0">
                  <c:v>1109.6666666666667</c:v>
                </c:pt>
                <c:pt idx="58" formatCode="0">
                  <c:v>1154.3333333333333</c:v>
                </c:pt>
                <c:pt idx="59" formatCode="0">
                  <c:v>1108.3333333333333</c:v>
                </c:pt>
                <c:pt idx="60" formatCode="0">
                  <c:v>1179</c:v>
                </c:pt>
                <c:pt idx="61" formatCode="0">
                  <c:v>1231.3333333333333</c:v>
                </c:pt>
                <c:pt idx="62" formatCode="0">
                  <c:v>1463</c:v>
                </c:pt>
                <c:pt idx="63" formatCode="0">
                  <c:v>1590.6666666666667</c:v>
                </c:pt>
                <c:pt idx="64" formatCode="0">
                  <c:v>1716.6666666666667</c:v>
                </c:pt>
                <c:pt idx="65" formatCode="0">
                  <c:v>1641</c:v>
                </c:pt>
                <c:pt idx="66" formatCode="0">
                  <c:v>1662</c:v>
                </c:pt>
                <c:pt idx="67" formatCode="0">
                  <c:v>1519.3333333333333</c:v>
                </c:pt>
                <c:pt idx="68" formatCode="0">
                  <c:v>1409.3333333333333</c:v>
                </c:pt>
                <c:pt idx="69" formatCode="0">
                  <c:v>1247.3333333333333</c:v>
                </c:pt>
                <c:pt idx="70" formatCode="0">
                  <c:v>1257.6666666666667</c:v>
                </c:pt>
                <c:pt idx="71" formatCode="0">
                  <c:v>1264</c:v>
                </c:pt>
                <c:pt idx="72" formatCode="0">
                  <c:v>1230.6666666666667</c:v>
                </c:pt>
                <c:pt idx="73" formatCode="0">
                  <c:v>1244</c:v>
                </c:pt>
                <c:pt idx="74" formatCode="0">
                  <c:v>1424.6666666666667</c:v>
                </c:pt>
                <c:pt idx="75" formatCode="0">
                  <c:v>1702</c:v>
                </c:pt>
                <c:pt idx="76" formatCode="0">
                  <c:v>1797.3333333333333</c:v>
                </c:pt>
                <c:pt idx="77" formatCode="0">
                  <c:v>1693.6666666666667</c:v>
                </c:pt>
                <c:pt idx="78" formatCode="0">
                  <c:v>1591.6666666666667</c:v>
                </c:pt>
                <c:pt idx="79" formatCode="0">
                  <c:v>1525.6666666666667</c:v>
                </c:pt>
                <c:pt idx="80" formatCode="0">
                  <c:v>1462.3333333333333</c:v>
                </c:pt>
                <c:pt idx="81" formatCode="0">
                  <c:v>1289</c:v>
                </c:pt>
                <c:pt idx="82" formatCode="0">
                  <c:v>1232</c:v>
                </c:pt>
                <c:pt idx="83" formatCode="0">
                  <c:v>1267.3333333333333</c:v>
                </c:pt>
                <c:pt idx="84" formatCode="0">
                  <c:v>1366.3333333333333</c:v>
                </c:pt>
                <c:pt idx="85" formatCode="0">
                  <c:v>1552</c:v>
                </c:pt>
                <c:pt idx="86" formatCode="0">
                  <c:v>1738.6666666666667</c:v>
                </c:pt>
                <c:pt idx="87" formatCode="0">
                  <c:v>1978.3333333333333</c:v>
                </c:pt>
                <c:pt idx="88" formatCode="0">
                  <c:v>2127.3333333333335</c:v>
                </c:pt>
                <c:pt idx="89" formatCode="0">
                  <c:v>2050.6666666666665</c:v>
                </c:pt>
                <c:pt idx="90" formatCode="0">
                  <c:v>1821</c:v>
                </c:pt>
                <c:pt idx="91" formatCode="0">
                  <c:v>1574.6666666666667</c:v>
                </c:pt>
                <c:pt idx="92" formatCode="0">
                  <c:v>1504.6666666666667</c:v>
                </c:pt>
                <c:pt idx="93" formatCode="0">
                  <c:v>1404.6666666666667</c:v>
                </c:pt>
                <c:pt idx="94" formatCode="0">
                  <c:v>1379.6666666666667</c:v>
                </c:pt>
                <c:pt idx="95" formatCode="0">
                  <c:v>1343.6666666666667</c:v>
                </c:pt>
                <c:pt idx="96" formatCode="0">
                  <c:v>1435.3333333333333</c:v>
                </c:pt>
                <c:pt idx="97" formatCode="0">
                  <c:v>1559</c:v>
                </c:pt>
                <c:pt idx="98" formatCode="0">
                  <c:v>1730.6666666666667</c:v>
                </c:pt>
                <c:pt idx="99" formatCode="0">
                  <c:v>1829</c:v>
                </c:pt>
                <c:pt idx="100" formatCode="0">
                  <c:v>1824.6666666666667</c:v>
                </c:pt>
                <c:pt idx="101" formatCode="0">
                  <c:v>1586</c:v>
                </c:pt>
                <c:pt idx="102" formatCode="0">
                  <c:v>1481.3333333333333</c:v>
                </c:pt>
                <c:pt idx="103" formatCode="0">
                  <c:v>1509.6666666666667</c:v>
                </c:pt>
                <c:pt idx="104" formatCode="0">
                  <c:v>1528.3333333333333</c:v>
                </c:pt>
                <c:pt idx="105" formatCode="0">
                  <c:v>1333.6666666666667</c:v>
                </c:pt>
                <c:pt idx="106" formatCode="0">
                  <c:v>915.33333333333337</c:v>
                </c:pt>
                <c:pt idx="107" formatCode="0">
                  <c:v>695</c:v>
                </c:pt>
                <c:pt idx="108" formatCode="0">
                  <c:v>667.66666666666663</c:v>
                </c:pt>
                <c:pt idx="109" formatCode="0">
                  <c:v>774.33333333333337</c:v>
                </c:pt>
                <c:pt idx="110" formatCode="0">
                  <c:v>935</c:v>
                </c:pt>
                <c:pt idx="111" formatCode="0">
                  <c:v>1038.6666666666667</c:v>
                </c:pt>
                <c:pt idx="112" formatCode="0">
                  <c:v>1138</c:v>
                </c:pt>
                <c:pt idx="113" formatCode="0">
                  <c:v>1047.3333333333333</c:v>
                </c:pt>
                <c:pt idx="114" formatCode="0">
                  <c:v>949.33333333333337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3-4786-8433-19299EEE8E86}"/>
            </c:ext>
          </c:extLst>
        </c:ser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56"/>
            <c:marker>
              <c:symbol val="diamond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1-1402-423A-AE39-CBF60C864F5A}"/>
              </c:ext>
            </c:extLst>
          </c:dPt>
          <c:cat>
            <c:numRef>
              <c:f>'Monthly Stats'!$A$3:$A$117</c:f>
              <c:numCache>
                <c:formatCode>mmm\-yy</c:formatCode>
                <c:ptCount val="11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43405</c:v>
                </c:pt>
                <c:pt idx="87">
                  <c:v>43435</c:v>
                </c:pt>
                <c:pt idx="88">
                  <c:v>43466</c:v>
                </c:pt>
                <c:pt idx="89">
                  <c:v>43497</c:v>
                </c:pt>
                <c:pt idx="90">
                  <c:v>43525</c:v>
                </c:pt>
                <c:pt idx="91">
                  <c:v>43556</c:v>
                </c:pt>
                <c:pt idx="92">
                  <c:v>43586</c:v>
                </c:pt>
                <c:pt idx="93">
                  <c:v>43617</c:v>
                </c:pt>
                <c:pt idx="94">
                  <c:v>43647</c:v>
                </c:pt>
                <c:pt idx="95">
                  <c:v>43678</c:v>
                </c:pt>
                <c:pt idx="96">
                  <c:v>43709</c:v>
                </c:pt>
                <c:pt idx="97">
                  <c:v>43739</c:v>
                </c:pt>
                <c:pt idx="98">
                  <c:v>43770</c:v>
                </c:pt>
                <c:pt idx="99">
                  <c:v>43800</c:v>
                </c:pt>
                <c:pt idx="100">
                  <c:v>43831</c:v>
                </c:pt>
                <c:pt idx="101">
                  <c:v>43862</c:v>
                </c:pt>
                <c:pt idx="102">
                  <c:v>43891</c:v>
                </c:pt>
                <c:pt idx="103">
                  <c:v>43922</c:v>
                </c:pt>
                <c:pt idx="104">
                  <c:v>43952</c:v>
                </c:pt>
                <c:pt idx="105">
                  <c:v>43983</c:v>
                </c:pt>
                <c:pt idx="106">
                  <c:v>44013</c:v>
                </c:pt>
                <c:pt idx="107">
                  <c:v>44044</c:v>
                </c:pt>
                <c:pt idx="108">
                  <c:v>44075</c:v>
                </c:pt>
                <c:pt idx="109">
                  <c:v>44105</c:v>
                </c:pt>
                <c:pt idx="110">
                  <c:v>44136</c:v>
                </c:pt>
                <c:pt idx="111">
                  <c:v>44166</c:v>
                </c:pt>
                <c:pt idx="112">
                  <c:v>44197</c:v>
                </c:pt>
                <c:pt idx="113">
                  <c:v>44228</c:v>
                </c:pt>
                <c:pt idx="114">
                  <c:v>44256</c:v>
                </c:pt>
              </c:numCache>
            </c:numRef>
          </c:cat>
          <c:val>
            <c:numRef>
              <c:f>'Monthly Stats'!$O$3:$O$117</c:f>
              <c:numCache>
                <c:formatCode>General</c:formatCode>
                <c:ptCount val="115"/>
                <c:pt idx="14" formatCode="0">
                  <c:v>307.86111111111109</c:v>
                </c:pt>
                <c:pt idx="15" formatCode="0">
                  <c:v>348.58333333333331</c:v>
                </c:pt>
                <c:pt idx="16" formatCode="0">
                  <c:v>387.13888888888886</c:v>
                </c:pt>
                <c:pt idx="17" formatCode="0">
                  <c:v>424.77777777777777</c:v>
                </c:pt>
                <c:pt idx="18" formatCode="0">
                  <c:v>461.72222222222217</c:v>
                </c:pt>
                <c:pt idx="19" formatCode="0">
                  <c:v>505.38888888888891</c:v>
                </c:pt>
                <c:pt idx="20" formatCode="0">
                  <c:v>558.8611111111112</c:v>
                </c:pt>
                <c:pt idx="21" formatCode="0">
                  <c:v>619.41666666666674</c:v>
                </c:pt>
                <c:pt idx="22" formatCode="0">
                  <c:v>681.80555555555566</c:v>
                </c:pt>
                <c:pt idx="23" formatCode="0">
                  <c:v>735.25</c:v>
                </c:pt>
                <c:pt idx="24" formatCode="0">
                  <c:v>785.05555555555566</c:v>
                </c:pt>
                <c:pt idx="25" formatCode="0">
                  <c:v>839.27777777777783</c:v>
                </c:pt>
                <c:pt idx="26" formatCode="0">
                  <c:v>894.44444444444446</c:v>
                </c:pt>
                <c:pt idx="27" formatCode="0">
                  <c:v>949.47222222222217</c:v>
                </c:pt>
                <c:pt idx="28" formatCode="0">
                  <c:v>1005.4166666666666</c:v>
                </c:pt>
                <c:pt idx="29" formatCode="0">
                  <c:v>1065.2222222222224</c:v>
                </c:pt>
                <c:pt idx="30" formatCode="0">
                  <c:v>1126.1111111111111</c:v>
                </c:pt>
                <c:pt idx="31" formatCode="0">
                  <c:v>1174.5555555555554</c:v>
                </c:pt>
                <c:pt idx="32" formatCode="0">
                  <c:v>1206.2777777777778</c:v>
                </c:pt>
                <c:pt idx="33" formatCode="0">
                  <c:v>1220.6666666666667</c:v>
                </c:pt>
                <c:pt idx="34" formatCode="0">
                  <c:v>1226.1666666666667</c:v>
                </c:pt>
                <c:pt idx="35" formatCode="0">
                  <c:v>1239.6111111111111</c:v>
                </c:pt>
                <c:pt idx="36" formatCode="0">
                  <c:v>1264.6111111111111</c:v>
                </c:pt>
                <c:pt idx="37" formatCode="0">
                  <c:v>1282.1388888888889</c:v>
                </c:pt>
                <c:pt idx="38" formatCode="0">
                  <c:v>1291.3611111111111</c:v>
                </c:pt>
                <c:pt idx="39" formatCode="0">
                  <c:v>1298</c:v>
                </c:pt>
                <c:pt idx="40" formatCode="0">
                  <c:v>1296.6666666666665</c:v>
                </c:pt>
                <c:pt idx="41" formatCode="0">
                  <c:v>1283.6388888888887</c:v>
                </c:pt>
                <c:pt idx="42" formatCode="0">
                  <c:v>1252.8055555555554</c:v>
                </c:pt>
                <c:pt idx="43" formatCode="0">
                  <c:v>1216.8333333333333</c:v>
                </c:pt>
                <c:pt idx="44" formatCode="0">
                  <c:v>1187.8611111111111</c:v>
                </c:pt>
                <c:pt idx="45" formatCode="0">
                  <c:v>1171.6111111111111</c:v>
                </c:pt>
                <c:pt idx="46" formatCode="0">
                  <c:v>1169.2222222222224</c:v>
                </c:pt>
                <c:pt idx="47" formatCode="0">
                  <c:v>1158.3611111111111</c:v>
                </c:pt>
                <c:pt idx="48" formatCode="0">
                  <c:v>1143.0277777777778</c:v>
                </c:pt>
                <c:pt idx="49" formatCode="0">
                  <c:v>1130.7777777777778</c:v>
                </c:pt>
                <c:pt idx="50" formatCode="0">
                  <c:v>1137.0555555555557</c:v>
                </c:pt>
                <c:pt idx="51" formatCode="0">
                  <c:v>1157.5555555555557</c:v>
                </c:pt>
                <c:pt idx="52" formatCode="0">
                  <c:v>1198.3055555555554</c:v>
                </c:pt>
                <c:pt idx="53" formatCode="0">
                  <c:v>1247.7222222222219</c:v>
                </c:pt>
                <c:pt idx="54" formatCode="0">
                  <c:v>1299.2499999999998</c:v>
                </c:pt>
                <c:pt idx="55" formatCode="0">
                  <c:v>1337.2777777777776</c:v>
                </c:pt>
                <c:pt idx="56" formatCode="0">
                  <c:v>1364.4722222222219</c:v>
                </c:pt>
                <c:pt idx="57" formatCode="0">
                  <c:v>1373.9722222222219</c:v>
                </c:pt>
                <c:pt idx="58" formatCode="0">
                  <c:v>1374.1388888888887</c:v>
                </c:pt>
                <c:pt idx="59" formatCode="0">
                  <c:v>1371.6111111111111</c:v>
                </c:pt>
                <c:pt idx="60" formatCode="0">
                  <c:v>1371.5833333333333</c:v>
                </c:pt>
                <c:pt idx="61" formatCode="0">
                  <c:v>1375.0277777777781</c:v>
                </c:pt>
                <c:pt idx="62" formatCode="0">
                  <c:v>1387.3611111111113</c:v>
                </c:pt>
                <c:pt idx="63" formatCode="0">
                  <c:v>1388.3333333333337</c:v>
                </c:pt>
                <c:pt idx="64" formatCode="0">
                  <c:v>1385.6666666666667</c:v>
                </c:pt>
                <c:pt idx="65" formatCode="0">
                  <c:v>1373.0277777777781</c:v>
                </c:pt>
                <c:pt idx="66" formatCode="0">
                  <c:v>1375.6388888888887</c:v>
                </c:pt>
                <c:pt idx="67" formatCode="0">
                  <c:v>1387.6944444444443</c:v>
                </c:pt>
                <c:pt idx="68" formatCode="0">
                  <c:v>1398.7222222222219</c:v>
                </c:pt>
                <c:pt idx="69" formatCode="0">
                  <c:v>1410.1944444444446</c:v>
                </c:pt>
                <c:pt idx="70" formatCode="0">
                  <c:v>1418.8055555555557</c:v>
                </c:pt>
                <c:pt idx="71" formatCode="0">
                  <c:v>1431.7777777777781</c:v>
                </c:pt>
                <c:pt idx="72" formatCode="0">
                  <c:v>1436.0833333333337</c:v>
                </c:pt>
                <c:pt idx="73" formatCode="0">
                  <c:v>1437.1388888888889</c:v>
                </c:pt>
                <c:pt idx="74" formatCode="0">
                  <c:v>1433.9444444444443</c:v>
                </c:pt>
                <c:pt idx="75" formatCode="0">
                  <c:v>1443.2222222222219</c:v>
                </c:pt>
                <c:pt idx="76" formatCode="0">
                  <c:v>1449.9444444444443</c:v>
                </c:pt>
                <c:pt idx="77" formatCode="0">
                  <c:v>1454.3333333333333</c:v>
                </c:pt>
                <c:pt idx="78" formatCode="0">
                  <c:v>1448.4722222222224</c:v>
                </c:pt>
                <c:pt idx="79" formatCode="0">
                  <c:v>1449</c:v>
                </c:pt>
                <c:pt idx="80" formatCode="0">
                  <c:v>1453.4166666666667</c:v>
                </c:pt>
                <c:pt idx="81" formatCode="0">
                  <c:v>1456.8888888888887</c:v>
                </c:pt>
                <c:pt idx="82" formatCode="0">
                  <c:v>1454.75</c:v>
                </c:pt>
                <c:pt idx="83" formatCode="0">
                  <c:v>1455.0277777777776</c:v>
                </c:pt>
                <c:pt idx="84" formatCode="0">
                  <c:v>1466.3333333333333</c:v>
                </c:pt>
                <c:pt idx="85" formatCode="0">
                  <c:v>1492</c:v>
                </c:pt>
                <c:pt idx="86" formatCode="0">
                  <c:v>1518.166666666667</c:v>
                </c:pt>
                <c:pt idx="87" formatCode="0">
                  <c:v>1541.1944444444446</c:v>
                </c:pt>
                <c:pt idx="88" formatCode="0">
                  <c:v>1568.6944444444443</c:v>
                </c:pt>
                <c:pt idx="89" formatCode="0">
                  <c:v>1598.4444444444446</c:v>
                </c:pt>
                <c:pt idx="90" formatCode="0">
                  <c:v>1617.5555555555557</c:v>
                </c:pt>
                <c:pt idx="91" formatCode="0">
                  <c:v>1621.6388888888889</c:v>
                </c:pt>
                <c:pt idx="92" formatCode="0">
                  <c:v>1625.1666666666667</c:v>
                </c:pt>
                <c:pt idx="93" formatCode="0">
                  <c:v>1634.8055555555557</c:v>
                </c:pt>
                <c:pt idx="94" formatCode="0">
                  <c:v>1647.1111111111113</c:v>
                </c:pt>
                <c:pt idx="95" formatCode="0">
                  <c:v>1653.4722222222224</c:v>
                </c:pt>
                <c:pt idx="96" formatCode="0">
                  <c:v>1659.2222222222219</c:v>
                </c:pt>
                <c:pt idx="97" formatCode="0">
                  <c:v>1659.8055555555554</c:v>
                </c:pt>
                <c:pt idx="98" formatCode="0">
                  <c:v>1659.1388888888887</c:v>
                </c:pt>
                <c:pt idx="99" formatCode="0">
                  <c:v>1646.6944444444443</c:v>
                </c:pt>
                <c:pt idx="100" formatCode="0">
                  <c:v>1621.4722222222224</c:v>
                </c:pt>
                <c:pt idx="101" formatCode="0">
                  <c:v>1582.75</c:v>
                </c:pt>
                <c:pt idx="102" formatCode="0">
                  <c:v>1554.4444444444443</c:v>
                </c:pt>
                <c:pt idx="103" formatCode="0">
                  <c:v>1549.0277777777776</c:v>
                </c:pt>
                <c:pt idx="104" formatCode="0">
                  <c:v>1551</c:v>
                </c:pt>
                <c:pt idx="105" formatCode="0">
                  <c:v>1545.0833333333333</c:v>
                </c:pt>
                <c:pt idx="106" formatCode="0">
                  <c:v>1506.3888888888889</c:v>
                </c:pt>
                <c:pt idx="107" formatCode="0">
                  <c:v>1452.3333333333333</c:v>
                </c:pt>
                <c:pt idx="108" formatCode="0">
                  <c:v>1388.3611111111113</c:v>
                </c:pt>
                <c:pt idx="109" formatCode="0">
                  <c:v>1322.9722222222224</c:v>
                </c:pt>
                <c:pt idx="110" formatCode="0">
                  <c:v>1256.6666666666667</c:v>
                </c:pt>
                <c:pt idx="111" formatCode="0">
                  <c:v>1190.8055555555554</c:v>
                </c:pt>
                <c:pt idx="112" formatCode="0">
                  <c:v>1133.5833333333333</c:v>
                </c:pt>
                <c:pt idx="113" formatCode="0">
                  <c:v>1088.6944444444446</c:v>
                </c:pt>
                <c:pt idx="114" formatCode="0">
                  <c:v>1044.3611111111111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2-423A-AE39-CBF60C86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8880"/>
        <c:axId val="83020800"/>
      </c:lineChart>
      <c:catAx>
        <c:axId val="83018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20800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8302080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</a:t>
                </a:r>
              </a:p>
            </c:rich>
          </c:tx>
          <c:layout>
            <c:manualLayout>
              <c:xMode val="edge"/>
              <c:yMode val="edge"/>
              <c:x val="3.3543119610048744E-2"/>
              <c:y val="0.39687494864246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188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75007356919364"/>
          <c:y val="0.20442025714393622"/>
          <c:w val="0.18263179602549681"/>
          <c:h val="0.14588223142137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3000000000000056" l="0.37000000000000027" r="0.4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/>
              <a:t>County Durham Foodbank People fed per month from Jan 2014</a:t>
            </a:r>
          </a:p>
        </c:rich>
      </c:tx>
      <c:layout>
        <c:manualLayout>
          <c:xMode val="edge"/>
          <c:yMode val="edge"/>
          <c:x val="0.1731795684263355"/>
          <c:y val="5.118241992288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49649980278092E-2"/>
          <c:y val="0.14033107945325676"/>
          <c:w val="0.88473639004010107"/>
          <c:h val="0.72017276556672416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Stats'!$L$1</c:f>
              <c:strCache>
                <c:ptCount val="1"/>
                <c:pt idx="0">
                  <c:v>Number fed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'Monthly Stats'!$A$31:$A$117</c:f>
              <c:numCache>
                <c:formatCode>mmm\-yy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</c:numCache>
            </c:numRef>
          </c:cat>
          <c:val>
            <c:numRef>
              <c:f>'Monthly Stats'!$M$31:$M$117</c:f>
              <c:numCache>
                <c:formatCode>0</c:formatCode>
                <c:ptCount val="87"/>
                <c:pt idx="0">
                  <c:v>1428</c:v>
                </c:pt>
                <c:pt idx="1">
                  <c:v>1335</c:v>
                </c:pt>
                <c:pt idx="2">
                  <c:v>1384</c:v>
                </c:pt>
                <c:pt idx="3">
                  <c:v>1331</c:v>
                </c:pt>
                <c:pt idx="4">
                  <c:v>1180</c:v>
                </c:pt>
                <c:pt idx="5">
                  <c:v>1061</c:v>
                </c:pt>
                <c:pt idx="6">
                  <c:v>1302</c:v>
                </c:pt>
                <c:pt idx="7">
                  <c:v>1444</c:v>
                </c:pt>
                <c:pt idx="8">
                  <c:v>1344</c:v>
                </c:pt>
                <c:pt idx="9">
                  <c:v>1223</c:v>
                </c:pt>
                <c:pt idx="10">
                  <c:v>1152</c:v>
                </c:pt>
                <c:pt idx="11">
                  <c:v>1624</c:v>
                </c:pt>
                <c:pt idx="12">
                  <c:v>1003</c:v>
                </c:pt>
                <c:pt idx="13">
                  <c:v>972</c:v>
                </c:pt>
                <c:pt idx="14">
                  <c:v>1062</c:v>
                </c:pt>
                <c:pt idx="15">
                  <c:v>721</c:v>
                </c:pt>
                <c:pt idx="16">
                  <c:v>1069</c:v>
                </c:pt>
                <c:pt idx="17">
                  <c:v>1197</c:v>
                </c:pt>
                <c:pt idx="18">
                  <c:v>1191</c:v>
                </c:pt>
                <c:pt idx="19">
                  <c:v>1028</c:v>
                </c:pt>
                <c:pt idx="20">
                  <c:v>1319</c:v>
                </c:pt>
                <c:pt idx="21">
                  <c:v>1223</c:v>
                </c:pt>
                <c:pt idx="22">
                  <c:v>1403</c:v>
                </c:pt>
                <c:pt idx="23">
                  <c:v>2111</c:v>
                </c:pt>
                <c:pt idx="24">
                  <c:v>1732</c:v>
                </c:pt>
                <c:pt idx="25">
                  <c:v>1535</c:v>
                </c:pt>
                <c:pt idx="26">
                  <c:v>1625</c:v>
                </c:pt>
                <c:pt idx="27">
                  <c:v>964</c:v>
                </c:pt>
                <c:pt idx="28">
                  <c:v>1242</c:v>
                </c:pt>
                <c:pt idx="29">
                  <c:v>1123</c:v>
                </c:pt>
                <c:pt idx="30">
                  <c:v>1098</c:v>
                </c:pt>
                <c:pt idx="31">
                  <c:v>1104</c:v>
                </c:pt>
                <c:pt idx="32">
                  <c:v>1335</c:v>
                </c:pt>
                <c:pt idx="33">
                  <c:v>1255</c:v>
                </c:pt>
                <c:pt idx="34">
                  <c:v>1799</c:v>
                </c:pt>
                <c:pt idx="35">
                  <c:v>1718</c:v>
                </c:pt>
                <c:pt idx="36">
                  <c:v>1633</c:v>
                </c:pt>
                <c:pt idx="37">
                  <c:v>1572</c:v>
                </c:pt>
                <c:pt idx="38">
                  <c:v>1781</c:v>
                </c:pt>
                <c:pt idx="39">
                  <c:v>1205</c:v>
                </c:pt>
                <c:pt idx="40">
                  <c:v>1242</c:v>
                </c:pt>
                <c:pt idx="41">
                  <c:v>1295</c:v>
                </c:pt>
                <c:pt idx="42">
                  <c:v>1236</c:v>
                </c:pt>
                <c:pt idx="43">
                  <c:v>1261</c:v>
                </c:pt>
                <c:pt idx="44">
                  <c:v>1195</c:v>
                </c:pt>
                <c:pt idx="45">
                  <c:v>1276</c:v>
                </c:pt>
                <c:pt idx="46">
                  <c:v>1803</c:v>
                </c:pt>
                <c:pt idx="47">
                  <c:v>2027</c:v>
                </c:pt>
                <c:pt idx="48">
                  <c:v>1562</c:v>
                </c:pt>
                <c:pt idx="49">
                  <c:v>1492</c:v>
                </c:pt>
                <c:pt idx="50">
                  <c:v>1721</c:v>
                </c:pt>
                <c:pt idx="51">
                  <c:v>1364</c:v>
                </c:pt>
                <c:pt idx="52">
                  <c:v>1302</c:v>
                </c:pt>
                <c:pt idx="53">
                  <c:v>1201</c:v>
                </c:pt>
                <c:pt idx="54">
                  <c:v>1193</c:v>
                </c:pt>
                <c:pt idx="55">
                  <c:v>1408</c:v>
                </c:pt>
                <c:pt idx="56">
                  <c:v>1498</c:v>
                </c:pt>
                <c:pt idx="57">
                  <c:v>1750</c:v>
                </c:pt>
                <c:pt idx="58">
                  <c:v>1968</c:v>
                </c:pt>
                <c:pt idx="59">
                  <c:v>2217</c:v>
                </c:pt>
                <c:pt idx="60">
                  <c:v>2197</c:v>
                </c:pt>
                <c:pt idx="61">
                  <c:v>1738</c:v>
                </c:pt>
                <c:pt idx="62">
                  <c:v>1528</c:v>
                </c:pt>
                <c:pt idx="63">
                  <c:v>1458</c:v>
                </c:pt>
                <c:pt idx="64">
                  <c:v>1528</c:v>
                </c:pt>
                <c:pt idx="65">
                  <c:v>1228</c:v>
                </c:pt>
                <c:pt idx="66">
                  <c:v>1383</c:v>
                </c:pt>
                <c:pt idx="67">
                  <c:v>1420</c:v>
                </c:pt>
                <c:pt idx="68">
                  <c:v>1503</c:v>
                </c:pt>
                <c:pt idx="69">
                  <c:v>1754</c:v>
                </c:pt>
                <c:pt idx="70">
                  <c:v>1935</c:v>
                </c:pt>
                <c:pt idx="71">
                  <c:v>1798</c:v>
                </c:pt>
                <c:pt idx="72">
                  <c:v>1741</c:v>
                </c:pt>
                <c:pt idx="73">
                  <c:v>1219</c:v>
                </c:pt>
                <c:pt idx="74">
                  <c:v>1484</c:v>
                </c:pt>
                <c:pt idx="75">
                  <c:v>1826</c:v>
                </c:pt>
                <c:pt idx="76">
                  <c:v>1275</c:v>
                </c:pt>
                <c:pt idx="77">
                  <c:v>900</c:v>
                </c:pt>
                <c:pt idx="78">
                  <c:v>571</c:v>
                </c:pt>
                <c:pt idx="79">
                  <c:v>614</c:v>
                </c:pt>
                <c:pt idx="80">
                  <c:v>818</c:v>
                </c:pt>
                <c:pt idx="81">
                  <c:v>891</c:v>
                </c:pt>
                <c:pt idx="82">
                  <c:v>1096</c:v>
                </c:pt>
                <c:pt idx="83">
                  <c:v>1129</c:v>
                </c:pt>
                <c:pt idx="84">
                  <c:v>1189</c:v>
                </c:pt>
                <c:pt idx="85">
                  <c:v>824</c:v>
                </c:pt>
                <c:pt idx="86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E9-47F4-B1BA-7A90E8A006A7}"/>
            </c:ext>
          </c:extLst>
        </c:ser>
        <c:ser>
          <c:idx val="1"/>
          <c:order val="1"/>
          <c:tx>
            <c:v>12 Mth Ave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'Monthly Stats'!$A$31:$A$117</c:f>
              <c:numCache>
                <c:formatCode>mmm\-yy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</c:numCache>
            </c:numRef>
          </c:cat>
          <c:val>
            <c:numRef>
              <c:f>'Monthly Stats'!$O$31:$O$117</c:f>
              <c:numCache>
                <c:formatCode>0</c:formatCode>
                <c:ptCount val="87"/>
                <c:pt idx="0">
                  <c:v>1005.4166666666666</c:v>
                </c:pt>
                <c:pt idx="1">
                  <c:v>1065.2222222222224</c:v>
                </c:pt>
                <c:pt idx="2">
                  <c:v>1126.1111111111111</c:v>
                </c:pt>
                <c:pt idx="3">
                  <c:v>1174.5555555555554</c:v>
                </c:pt>
                <c:pt idx="4">
                  <c:v>1206.2777777777778</c:v>
                </c:pt>
                <c:pt idx="5">
                  <c:v>1220.6666666666667</c:v>
                </c:pt>
                <c:pt idx="6">
                  <c:v>1226.1666666666667</c:v>
                </c:pt>
                <c:pt idx="7">
                  <c:v>1239.6111111111111</c:v>
                </c:pt>
                <c:pt idx="8">
                  <c:v>1264.6111111111111</c:v>
                </c:pt>
                <c:pt idx="9">
                  <c:v>1282.1388888888889</c:v>
                </c:pt>
                <c:pt idx="10">
                  <c:v>1291.3611111111111</c:v>
                </c:pt>
                <c:pt idx="11">
                  <c:v>1298</c:v>
                </c:pt>
                <c:pt idx="12">
                  <c:v>1296.6666666666665</c:v>
                </c:pt>
                <c:pt idx="13">
                  <c:v>1283.6388888888887</c:v>
                </c:pt>
                <c:pt idx="14">
                  <c:v>1252.8055555555554</c:v>
                </c:pt>
                <c:pt idx="15">
                  <c:v>1216.8333333333333</c:v>
                </c:pt>
                <c:pt idx="16">
                  <c:v>1187.8611111111111</c:v>
                </c:pt>
                <c:pt idx="17">
                  <c:v>1171.6111111111111</c:v>
                </c:pt>
                <c:pt idx="18">
                  <c:v>1169.2222222222224</c:v>
                </c:pt>
                <c:pt idx="19">
                  <c:v>1158.3611111111111</c:v>
                </c:pt>
                <c:pt idx="20">
                  <c:v>1143.0277777777778</c:v>
                </c:pt>
                <c:pt idx="21">
                  <c:v>1130.7777777777778</c:v>
                </c:pt>
                <c:pt idx="22">
                  <c:v>1137.0555555555557</c:v>
                </c:pt>
                <c:pt idx="23">
                  <c:v>1157.5555555555557</c:v>
                </c:pt>
                <c:pt idx="24">
                  <c:v>1198.3055555555554</c:v>
                </c:pt>
                <c:pt idx="25">
                  <c:v>1247.7222222222219</c:v>
                </c:pt>
                <c:pt idx="26">
                  <c:v>1299.2499999999998</c:v>
                </c:pt>
                <c:pt idx="27">
                  <c:v>1337.2777777777776</c:v>
                </c:pt>
                <c:pt idx="28">
                  <c:v>1364.4722222222219</c:v>
                </c:pt>
                <c:pt idx="29">
                  <c:v>1373.9722222222219</c:v>
                </c:pt>
                <c:pt idx="30">
                  <c:v>1374.1388888888887</c:v>
                </c:pt>
                <c:pt idx="31">
                  <c:v>1371.6111111111111</c:v>
                </c:pt>
                <c:pt idx="32">
                  <c:v>1371.5833333333333</c:v>
                </c:pt>
                <c:pt idx="33">
                  <c:v>1375.0277777777781</c:v>
                </c:pt>
                <c:pt idx="34">
                  <c:v>1387.3611111111113</c:v>
                </c:pt>
                <c:pt idx="35">
                  <c:v>1388.3333333333337</c:v>
                </c:pt>
                <c:pt idx="36">
                  <c:v>1385.6666666666667</c:v>
                </c:pt>
                <c:pt idx="37">
                  <c:v>1373.0277777777781</c:v>
                </c:pt>
                <c:pt idx="38">
                  <c:v>1375.6388888888887</c:v>
                </c:pt>
                <c:pt idx="39">
                  <c:v>1387.6944444444443</c:v>
                </c:pt>
                <c:pt idx="40">
                  <c:v>1398.7222222222219</c:v>
                </c:pt>
                <c:pt idx="41">
                  <c:v>1410.1944444444446</c:v>
                </c:pt>
                <c:pt idx="42">
                  <c:v>1418.8055555555557</c:v>
                </c:pt>
                <c:pt idx="43">
                  <c:v>1431.7777777777781</c:v>
                </c:pt>
                <c:pt idx="44">
                  <c:v>1436.0833333333337</c:v>
                </c:pt>
                <c:pt idx="45">
                  <c:v>1437.1388888888889</c:v>
                </c:pt>
                <c:pt idx="46">
                  <c:v>1433.9444444444443</c:v>
                </c:pt>
                <c:pt idx="47">
                  <c:v>1443.2222222222219</c:v>
                </c:pt>
                <c:pt idx="48">
                  <c:v>1449.9444444444443</c:v>
                </c:pt>
                <c:pt idx="49">
                  <c:v>1454.3333333333333</c:v>
                </c:pt>
                <c:pt idx="50">
                  <c:v>1448.4722222222224</c:v>
                </c:pt>
                <c:pt idx="51">
                  <c:v>1449</c:v>
                </c:pt>
                <c:pt idx="52">
                  <c:v>1453.4166666666667</c:v>
                </c:pt>
                <c:pt idx="53">
                  <c:v>1456.8888888888887</c:v>
                </c:pt>
                <c:pt idx="54">
                  <c:v>1454.75</c:v>
                </c:pt>
                <c:pt idx="55">
                  <c:v>1455.0277777777776</c:v>
                </c:pt>
                <c:pt idx="56">
                  <c:v>1466.3333333333333</c:v>
                </c:pt>
                <c:pt idx="57">
                  <c:v>1492</c:v>
                </c:pt>
                <c:pt idx="58">
                  <c:v>1518.166666666667</c:v>
                </c:pt>
                <c:pt idx="59">
                  <c:v>1541.1944444444446</c:v>
                </c:pt>
                <c:pt idx="60">
                  <c:v>1568.6944444444443</c:v>
                </c:pt>
                <c:pt idx="61">
                  <c:v>1598.4444444444446</c:v>
                </c:pt>
                <c:pt idx="62">
                  <c:v>1617.5555555555557</c:v>
                </c:pt>
                <c:pt idx="63">
                  <c:v>1621.6388888888889</c:v>
                </c:pt>
                <c:pt idx="64">
                  <c:v>1625.1666666666667</c:v>
                </c:pt>
                <c:pt idx="65">
                  <c:v>1634.8055555555557</c:v>
                </c:pt>
                <c:pt idx="66">
                  <c:v>1647.1111111111113</c:v>
                </c:pt>
                <c:pt idx="67">
                  <c:v>1653.4722222222224</c:v>
                </c:pt>
                <c:pt idx="68">
                  <c:v>1659.2222222222219</c:v>
                </c:pt>
                <c:pt idx="69">
                  <c:v>1659.8055555555554</c:v>
                </c:pt>
                <c:pt idx="70">
                  <c:v>1659.1388888888887</c:v>
                </c:pt>
                <c:pt idx="71">
                  <c:v>1646.6944444444443</c:v>
                </c:pt>
                <c:pt idx="72">
                  <c:v>1621.4722222222224</c:v>
                </c:pt>
                <c:pt idx="73">
                  <c:v>1582.75</c:v>
                </c:pt>
                <c:pt idx="74">
                  <c:v>1554.4444444444443</c:v>
                </c:pt>
                <c:pt idx="75">
                  <c:v>1549.0277777777776</c:v>
                </c:pt>
                <c:pt idx="76">
                  <c:v>1551</c:v>
                </c:pt>
                <c:pt idx="77">
                  <c:v>1545.0833333333333</c:v>
                </c:pt>
                <c:pt idx="78">
                  <c:v>1506.3888888888889</c:v>
                </c:pt>
                <c:pt idx="79">
                  <c:v>1452.3333333333333</c:v>
                </c:pt>
                <c:pt idx="80">
                  <c:v>1388.3611111111113</c:v>
                </c:pt>
                <c:pt idx="81">
                  <c:v>1322.9722222222224</c:v>
                </c:pt>
                <c:pt idx="82">
                  <c:v>1256.6666666666667</c:v>
                </c:pt>
                <c:pt idx="83">
                  <c:v>1190.8055555555554</c:v>
                </c:pt>
                <c:pt idx="84">
                  <c:v>1133.5833333333333</c:v>
                </c:pt>
                <c:pt idx="85">
                  <c:v>1088.6944444444446</c:v>
                </c:pt>
                <c:pt idx="86">
                  <c:v>1044.3611111111111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9-47F4-B1BA-7A90E8A006A7}"/>
            </c:ext>
          </c:extLst>
        </c:ser>
        <c:ser>
          <c:idx val="2"/>
          <c:order val="2"/>
          <c:tx>
            <c:v>Fuel Bank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'Monthly Stats'!$A$31:$A$117</c:f>
              <c:numCache>
                <c:formatCode>mmm\-yy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</c:numCache>
            </c:numRef>
          </c:cat>
          <c:val>
            <c:numRef>
              <c:f>'Monthly Stats'!$Y$31:$Y$117</c:f>
              <c:numCache>
                <c:formatCode>General</c:formatCode>
                <c:ptCount val="87"/>
                <c:pt idx="15">
                  <c:v>42</c:v>
                </c:pt>
                <c:pt idx="16">
                  <c:v>265</c:v>
                </c:pt>
                <c:pt idx="17">
                  <c:v>433</c:v>
                </c:pt>
                <c:pt idx="18">
                  <c:v>284</c:v>
                </c:pt>
                <c:pt idx="19">
                  <c:v>292</c:v>
                </c:pt>
                <c:pt idx="20">
                  <c:v>612</c:v>
                </c:pt>
                <c:pt idx="21">
                  <c:v>632</c:v>
                </c:pt>
                <c:pt idx="22">
                  <c:v>655</c:v>
                </c:pt>
                <c:pt idx="23">
                  <c:v>982</c:v>
                </c:pt>
                <c:pt idx="24">
                  <c:v>1074</c:v>
                </c:pt>
                <c:pt idx="25">
                  <c:v>874</c:v>
                </c:pt>
                <c:pt idx="26">
                  <c:v>812</c:v>
                </c:pt>
                <c:pt idx="27">
                  <c:v>501</c:v>
                </c:pt>
                <c:pt idx="28">
                  <c:v>453</c:v>
                </c:pt>
                <c:pt idx="29">
                  <c:v>476</c:v>
                </c:pt>
                <c:pt idx="30">
                  <c:v>395</c:v>
                </c:pt>
                <c:pt idx="31">
                  <c:v>425</c:v>
                </c:pt>
                <c:pt idx="32">
                  <c:v>498</c:v>
                </c:pt>
                <c:pt idx="33">
                  <c:v>615</c:v>
                </c:pt>
                <c:pt idx="34">
                  <c:v>1010</c:v>
                </c:pt>
                <c:pt idx="35">
                  <c:v>917</c:v>
                </c:pt>
                <c:pt idx="36">
                  <c:v>929</c:v>
                </c:pt>
                <c:pt idx="37">
                  <c:v>911</c:v>
                </c:pt>
                <c:pt idx="38">
                  <c:v>867</c:v>
                </c:pt>
                <c:pt idx="39">
                  <c:v>540</c:v>
                </c:pt>
                <c:pt idx="40">
                  <c:v>524</c:v>
                </c:pt>
                <c:pt idx="41">
                  <c:v>529</c:v>
                </c:pt>
                <c:pt idx="42">
                  <c:v>528</c:v>
                </c:pt>
                <c:pt idx="43">
                  <c:v>540</c:v>
                </c:pt>
                <c:pt idx="44">
                  <c:v>555</c:v>
                </c:pt>
                <c:pt idx="45">
                  <c:v>577</c:v>
                </c:pt>
                <c:pt idx="46">
                  <c:v>938</c:v>
                </c:pt>
                <c:pt idx="47">
                  <c:v>1058</c:v>
                </c:pt>
                <c:pt idx="48">
                  <c:v>914</c:v>
                </c:pt>
                <c:pt idx="49">
                  <c:v>808</c:v>
                </c:pt>
                <c:pt idx="50">
                  <c:v>931</c:v>
                </c:pt>
                <c:pt idx="51">
                  <c:v>633</c:v>
                </c:pt>
                <c:pt idx="52">
                  <c:v>451</c:v>
                </c:pt>
                <c:pt idx="53">
                  <c:v>391</c:v>
                </c:pt>
                <c:pt idx="54">
                  <c:v>394</c:v>
                </c:pt>
                <c:pt idx="55">
                  <c:v>517</c:v>
                </c:pt>
                <c:pt idx="56">
                  <c:v>572</c:v>
                </c:pt>
                <c:pt idx="57">
                  <c:v>681</c:v>
                </c:pt>
                <c:pt idx="58">
                  <c:v>800</c:v>
                </c:pt>
                <c:pt idx="59">
                  <c:v>799</c:v>
                </c:pt>
                <c:pt idx="60">
                  <c:v>1012</c:v>
                </c:pt>
                <c:pt idx="61">
                  <c:v>772</c:v>
                </c:pt>
                <c:pt idx="62">
                  <c:v>544</c:v>
                </c:pt>
                <c:pt idx="63">
                  <c:v>484</c:v>
                </c:pt>
                <c:pt idx="64">
                  <c:v>488</c:v>
                </c:pt>
                <c:pt idx="65">
                  <c:v>295</c:v>
                </c:pt>
                <c:pt idx="66">
                  <c:v>477</c:v>
                </c:pt>
                <c:pt idx="67">
                  <c:v>450</c:v>
                </c:pt>
                <c:pt idx="68">
                  <c:v>496</c:v>
                </c:pt>
                <c:pt idx="69">
                  <c:v>578</c:v>
                </c:pt>
                <c:pt idx="70">
                  <c:v>789</c:v>
                </c:pt>
                <c:pt idx="71">
                  <c:v>649</c:v>
                </c:pt>
                <c:pt idx="72">
                  <c:v>660</c:v>
                </c:pt>
                <c:pt idx="73">
                  <c:v>347</c:v>
                </c:pt>
                <c:pt idx="74">
                  <c:v>281</c:v>
                </c:pt>
                <c:pt idx="75">
                  <c:v>0</c:v>
                </c:pt>
                <c:pt idx="76">
                  <c:v>0</c:v>
                </c:pt>
                <c:pt idx="77">
                  <c:v>5</c:v>
                </c:pt>
                <c:pt idx="78">
                  <c:v>0</c:v>
                </c:pt>
                <c:pt idx="79">
                  <c:v>35</c:v>
                </c:pt>
                <c:pt idx="80">
                  <c:v>47</c:v>
                </c:pt>
                <c:pt idx="81">
                  <c:v>105</c:v>
                </c:pt>
                <c:pt idx="82">
                  <c:v>213</c:v>
                </c:pt>
                <c:pt idx="83">
                  <c:v>232</c:v>
                </c:pt>
                <c:pt idx="84">
                  <c:v>341</c:v>
                </c:pt>
                <c:pt idx="85">
                  <c:v>335</c:v>
                </c:pt>
                <c:pt idx="86">
                  <c:v>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E9-47F4-B1BA-7A90E8A006A7}"/>
            </c:ext>
          </c:extLst>
        </c:ser>
        <c:ser>
          <c:idx val="3"/>
          <c:order val="3"/>
          <c:tx>
            <c:strRef>
              <c:f>'Monthly Stats'!$AL$45</c:f>
              <c:strCache>
                <c:ptCount val="1"/>
                <c:pt idx="0">
                  <c:v>Food Only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'Monthly Stats'!$A$31:$A$117</c:f>
              <c:numCache>
                <c:formatCode>mmm\-yy</c:formatCode>
                <c:ptCount val="8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</c:numCache>
            </c:numRef>
          </c:cat>
          <c:val>
            <c:numRef>
              <c:f>'Monthly Stats'!$AN$31:$AN$117</c:f>
              <c:numCache>
                <c:formatCode>General</c:formatCode>
                <c:ptCount val="87"/>
                <c:pt idx="15" formatCode="0">
                  <c:v>679</c:v>
                </c:pt>
                <c:pt idx="16" formatCode="0">
                  <c:v>804</c:v>
                </c:pt>
                <c:pt idx="17" formatCode="0">
                  <c:v>764</c:v>
                </c:pt>
                <c:pt idx="18" formatCode="0">
                  <c:v>907</c:v>
                </c:pt>
                <c:pt idx="19" formatCode="0">
                  <c:v>736</c:v>
                </c:pt>
                <c:pt idx="20" formatCode="0">
                  <c:v>707</c:v>
                </c:pt>
                <c:pt idx="21" formatCode="0">
                  <c:v>591</c:v>
                </c:pt>
                <c:pt idx="22" formatCode="0">
                  <c:v>748</c:v>
                </c:pt>
                <c:pt idx="23" formatCode="0">
                  <c:v>1129</c:v>
                </c:pt>
                <c:pt idx="24" formatCode="0">
                  <c:v>658</c:v>
                </c:pt>
                <c:pt idx="25" formatCode="0">
                  <c:v>661</c:v>
                </c:pt>
                <c:pt idx="26" formatCode="0">
                  <c:v>813</c:v>
                </c:pt>
                <c:pt idx="27" formatCode="0">
                  <c:v>463</c:v>
                </c:pt>
                <c:pt idx="28" formatCode="0">
                  <c:v>789</c:v>
                </c:pt>
                <c:pt idx="29" formatCode="0">
                  <c:v>647</c:v>
                </c:pt>
                <c:pt idx="30" formatCode="0">
                  <c:v>703</c:v>
                </c:pt>
                <c:pt idx="31" formatCode="0">
                  <c:v>679</c:v>
                </c:pt>
                <c:pt idx="32" formatCode="0">
                  <c:v>837</c:v>
                </c:pt>
                <c:pt idx="33" formatCode="0">
                  <c:v>640</c:v>
                </c:pt>
                <c:pt idx="34" formatCode="0">
                  <c:v>789</c:v>
                </c:pt>
                <c:pt idx="35" formatCode="0">
                  <c:v>801</c:v>
                </c:pt>
                <c:pt idx="36" formatCode="0">
                  <c:v>704</c:v>
                </c:pt>
                <c:pt idx="37" formatCode="0">
                  <c:v>661</c:v>
                </c:pt>
                <c:pt idx="38" formatCode="0">
                  <c:v>914</c:v>
                </c:pt>
                <c:pt idx="39" formatCode="0">
                  <c:v>665</c:v>
                </c:pt>
                <c:pt idx="40" formatCode="0">
                  <c:v>718</c:v>
                </c:pt>
                <c:pt idx="41" formatCode="0">
                  <c:v>766</c:v>
                </c:pt>
                <c:pt idx="42" formatCode="0">
                  <c:v>708</c:v>
                </c:pt>
                <c:pt idx="43" formatCode="0">
                  <c:v>721</c:v>
                </c:pt>
                <c:pt idx="44" formatCode="0">
                  <c:v>640</c:v>
                </c:pt>
                <c:pt idx="45" formatCode="0">
                  <c:v>699</c:v>
                </c:pt>
                <c:pt idx="46" formatCode="0">
                  <c:v>865</c:v>
                </c:pt>
                <c:pt idx="47" formatCode="0">
                  <c:v>969</c:v>
                </c:pt>
                <c:pt idx="48" formatCode="0">
                  <c:v>648</c:v>
                </c:pt>
                <c:pt idx="49" formatCode="0">
                  <c:v>684</c:v>
                </c:pt>
                <c:pt idx="50" formatCode="0">
                  <c:v>790</c:v>
                </c:pt>
                <c:pt idx="51" formatCode="0">
                  <c:v>731</c:v>
                </c:pt>
                <c:pt idx="52" formatCode="0">
                  <c:v>851</c:v>
                </c:pt>
                <c:pt idx="53" formatCode="0">
                  <c:v>810</c:v>
                </c:pt>
                <c:pt idx="54" formatCode="0">
                  <c:v>799</c:v>
                </c:pt>
                <c:pt idx="55" formatCode="0">
                  <c:v>891</c:v>
                </c:pt>
                <c:pt idx="56" formatCode="0">
                  <c:v>926</c:v>
                </c:pt>
                <c:pt idx="57" formatCode="0">
                  <c:v>1069</c:v>
                </c:pt>
                <c:pt idx="58" formatCode="0">
                  <c:v>1168</c:v>
                </c:pt>
                <c:pt idx="59" formatCode="0">
                  <c:v>1418</c:v>
                </c:pt>
                <c:pt idx="60" formatCode="0">
                  <c:v>1185</c:v>
                </c:pt>
                <c:pt idx="61" formatCode="0">
                  <c:v>966</c:v>
                </c:pt>
                <c:pt idx="62" formatCode="0">
                  <c:v>984</c:v>
                </c:pt>
                <c:pt idx="63" formatCode="0">
                  <c:v>974</c:v>
                </c:pt>
                <c:pt idx="64" formatCode="0">
                  <c:v>1040</c:v>
                </c:pt>
                <c:pt idx="65" formatCode="0">
                  <c:v>933</c:v>
                </c:pt>
                <c:pt idx="66" formatCode="0">
                  <c:v>906</c:v>
                </c:pt>
                <c:pt idx="67" formatCode="0">
                  <c:v>970</c:v>
                </c:pt>
                <c:pt idx="68" formatCode="0">
                  <c:v>1007</c:v>
                </c:pt>
                <c:pt idx="69" formatCode="0">
                  <c:v>1176</c:v>
                </c:pt>
                <c:pt idx="70" formatCode="0">
                  <c:v>1146</c:v>
                </c:pt>
                <c:pt idx="71" formatCode="0">
                  <c:v>1149</c:v>
                </c:pt>
                <c:pt idx="72" formatCode="0">
                  <c:v>1081</c:v>
                </c:pt>
                <c:pt idx="73" formatCode="0">
                  <c:v>872</c:v>
                </c:pt>
                <c:pt idx="74" formatCode="0">
                  <c:v>1203</c:v>
                </c:pt>
                <c:pt idx="75" formatCode="0">
                  <c:v>1826</c:v>
                </c:pt>
                <c:pt idx="76" formatCode="0">
                  <c:v>1275</c:v>
                </c:pt>
                <c:pt idx="77" formatCode="0">
                  <c:v>895</c:v>
                </c:pt>
                <c:pt idx="78" formatCode="0">
                  <c:v>571</c:v>
                </c:pt>
                <c:pt idx="79" formatCode="0">
                  <c:v>579</c:v>
                </c:pt>
                <c:pt idx="80" formatCode="0">
                  <c:v>771</c:v>
                </c:pt>
                <c:pt idx="81" formatCode="0">
                  <c:v>786</c:v>
                </c:pt>
                <c:pt idx="82" formatCode="0">
                  <c:v>883</c:v>
                </c:pt>
                <c:pt idx="83" formatCode="0">
                  <c:v>897</c:v>
                </c:pt>
                <c:pt idx="84" formatCode="0">
                  <c:v>848</c:v>
                </c:pt>
                <c:pt idx="85" formatCode="0">
                  <c:v>489</c:v>
                </c:pt>
                <c:pt idx="86" formatCode="0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E9-47F4-B1BA-7A90E8A0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6832"/>
        <c:axId val="82778752"/>
      </c:lineChart>
      <c:catAx>
        <c:axId val="82776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7875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8277875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/>
                  <a:t>Number</a:t>
                </a:r>
              </a:p>
            </c:rich>
          </c:tx>
          <c:layout>
            <c:manualLayout>
              <c:xMode val="edge"/>
              <c:yMode val="edge"/>
              <c:x val="9.600959607519291E-3"/>
              <c:y val="0.39687481544462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776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59021081047778"/>
          <c:y val="0.17769305546832306"/>
          <c:w val="0.44601346991695567"/>
          <c:h val="8.8768272985084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3000000000000056" l="0.37000000000000027" r="0.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0943396226445"/>
          <c:y val="5.6250114441150786E-2"/>
          <c:w val="0.83207547169811447"/>
          <c:h val="0.6437513097153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'Reasons Mth Qtr Yr'!$V$53:$V$64</c:f>
              <c:numCache>
                <c:formatCode>General</c:formatCode>
                <c:ptCount val="12"/>
              </c:numCache>
            </c:numRef>
          </c:cat>
          <c:val>
            <c:numRef>
              <c:f>'Reasons Mth Qtr Yr'!$U$53:$U$64</c:f>
              <c:numCache>
                <c:formatCode>0.00%</c:formatCode>
                <c:ptCount val="12"/>
                <c:pt idx="0">
                  <c:v>0.21600226180378851</c:v>
                </c:pt>
                <c:pt idx="1">
                  <c:v>0.32541702007350864</c:v>
                </c:pt>
                <c:pt idx="2">
                  <c:v>6.7854113655640372E-3</c:v>
                </c:pt>
                <c:pt idx="3">
                  <c:v>4.7215154085383092E-2</c:v>
                </c:pt>
                <c:pt idx="4">
                  <c:v>1.3288097257562907E-2</c:v>
                </c:pt>
                <c:pt idx="5">
                  <c:v>9.6126661012157187E-3</c:v>
                </c:pt>
                <c:pt idx="6">
                  <c:v>3.929884082555838E-2</c:v>
                </c:pt>
                <c:pt idx="7">
                  <c:v>0.22024314390726604</c:v>
                </c:pt>
                <c:pt idx="8">
                  <c:v>7.0398642917726892E-2</c:v>
                </c:pt>
                <c:pt idx="9">
                  <c:v>1.1309018942606728E-3</c:v>
                </c:pt>
                <c:pt idx="10">
                  <c:v>2.2052586938083121E-2</c:v>
                </c:pt>
                <c:pt idx="11">
                  <c:v>2.8555272830081989E-2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0-4018-97FC-87146D326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3150336"/>
        <c:axId val="83151872"/>
      </c:barChart>
      <c:catAx>
        <c:axId val="831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6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5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5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'Reasons Mth Qtr Yr'!$A$53:$A$64</c:f>
              <c:strCache>
                <c:ptCount val="12"/>
                <c:pt idx="0">
                  <c:v>Benefit Changes</c:v>
                </c:pt>
                <c:pt idx="1">
                  <c:v>Benefit Delays</c:v>
                </c:pt>
                <c:pt idx="2">
                  <c:v>Child Holiday Meals</c:v>
                </c:pt>
                <c:pt idx="3">
                  <c:v>Debt</c:v>
                </c:pt>
                <c:pt idx="4">
                  <c:v>Delayed Wages</c:v>
                </c:pt>
                <c:pt idx="5">
                  <c:v>Domestic Violence</c:v>
                </c:pt>
                <c:pt idx="6">
                  <c:v>Homeless</c:v>
                </c:pt>
                <c:pt idx="7">
                  <c:v>Low Income</c:v>
                </c:pt>
                <c:pt idx="8">
                  <c:v>Other</c:v>
                </c:pt>
                <c:pt idx="9">
                  <c:v>Refused Crisis Loan</c:v>
                </c:pt>
                <c:pt idx="10">
                  <c:v>Sickness</c:v>
                </c:pt>
                <c:pt idx="11">
                  <c:v>Unemployed</c:v>
                </c:pt>
              </c:strCache>
            </c:strRef>
          </c:cat>
          <c:val>
            <c:numRef>
              <c:f>'Reasons Mth Qtr Yr'!$AC$53:$AC$64</c:f>
              <c:numCache>
                <c:formatCode>General</c:formatCode>
                <c:ptCount val="12"/>
                <c:pt idx="0">
                  <c:v>3484</c:v>
                </c:pt>
                <c:pt idx="1">
                  <c:v>5019</c:v>
                </c:pt>
                <c:pt idx="2">
                  <c:v>94</c:v>
                </c:pt>
                <c:pt idx="3">
                  <c:v>839</c:v>
                </c:pt>
                <c:pt idx="4">
                  <c:v>184</c:v>
                </c:pt>
                <c:pt idx="5">
                  <c:v>166</c:v>
                </c:pt>
                <c:pt idx="6">
                  <c:v>423</c:v>
                </c:pt>
                <c:pt idx="7">
                  <c:v>3542</c:v>
                </c:pt>
                <c:pt idx="8">
                  <c:v>1356</c:v>
                </c:pt>
                <c:pt idx="9">
                  <c:v>29</c:v>
                </c:pt>
                <c:pt idx="10">
                  <c:v>379</c:v>
                </c:pt>
                <c:pt idx="11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F-47D8-8A5C-6E782EA30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167872"/>
        <c:axId val="83173760"/>
      </c:barChart>
      <c:catAx>
        <c:axId val="8316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73760"/>
        <c:crosses val="autoZero"/>
        <c:auto val="1"/>
        <c:lblAlgn val="ctr"/>
        <c:lblOffset val="100"/>
        <c:noMultiLvlLbl val="0"/>
      </c:catAx>
      <c:valAx>
        <c:axId val="8317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6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137160</xdr:rowOff>
    </xdr:from>
    <xdr:to>
      <xdr:col>15</xdr:col>
      <xdr:colOff>443865</xdr:colOff>
      <xdr:row>31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</xdr:colOff>
      <xdr:row>70</xdr:row>
      <xdr:rowOff>150495</xdr:rowOff>
    </xdr:from>
    <xdr:to>
      <xdr:col>21</xdr:col>
      <xdr:colOff>266701</xdr:colOff>
      <xdr:row>90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</xdr:colOff>
      <xdr:row>34</xdr:row>
      <xdr:rowOff>15239</xdr:rowOff>
    </xdr:from>
    <xdr:to>
      <xdr:col>21</xdr:col>
      <xdr:colOff>95250</xdr:colOff>
      <xdr:row>68</xdr:row>
      <xdr:rowOff>123825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369570</xdr:colOff>
      <xdr:row>24</xdr:row>
      <xdr:rowOff>131445</xdr:rowOff>
    </xdr:from>
    <xdr:to>
      <xdr:col>66</xdr:col>
      <xdr:colOff>74295</xdr:colOff>
      <xdr:row>45</xdr:row>
      <xdr:rowOff>108585</xdr:rowOff>
    </xdr:to>
    <xdr:graphicFrame macro="">
      <xdr:nvGraphicFramePr>
        <xdr:cNvPr id="2051" name="Chart 1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398145</xdr:colOff>
      <xdr:row>3</xdr:row>
      <xdr:rowOff>49530</xdr:rowOff>
    </xdr:from>
    <xdr:to>
      <xdr:col>59</xdr:col>
      <xdr:colOff>236220</xdr:colOff>
      <xdr:row>23</xdr:row>
      <xdr:rowOff>120015</xdr:rowOff>
    </xdr:to>
    <xdr:graphicFrame macro="">
      <xdr:nvGraphicFramePr>
        <xdr:cNvPr id="2052" name="Chart 2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384810</xdr:colOff>
      <xdr:row>83</xdr:row>
      <xdr:rowOff>30480</xdr:rowOff>
    </xdr:from>
    <xdr:to>
      <xdr:col>63</xdr:col>
      <xdr:colOff>293370</xdr:colOff>
      <xdr:row>115</xdr:row>
      <xdr:rowOff>26670</xdr:rowOff>
    </xdr:to>
    <xdr:graphicFrame macro="">
      <xdr:nvGraphicFramePr>
        <xdr:cNvPr id="2053" name="Chart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350521</xdr:colOff>
      <xdr:row>47</xdr:row>
      <xdr:rowOff>34290</xdr:rowOff>
    </xdr:from>
    <xdr:to>
      <xdr:col>62</xdr:col>
      <xdr:colOff>74884</xdr:colOff>
      <xdr:row>81</xdr:row>
      <xdr:rowOff>90499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190500</xdr:colOff>
      <xdr:row>20</xdr:row>
      <xdr:rowOff>85725</xdr:rowOff>
    </xdr:from>
    <xdr:to>
      <xdr:col>38</xdr:col>
      <xdr:colOff>333375</xdr:colOff>
      <xdr:row>48</xdr:row>
      <xdr:rowOff>114300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304800</xdr:colOff>
      <xdr:row>28</xdr:row>
      <xdr:rowOff>38100</xdr:rowOff>
    </xdr:from>
    <xdr:to>
      <xdr:col>30</xdr:col>
      <xdr:colOff>0</xdr:colOff>
      <xdr:row>44</xdr:row>
      <xdr:rowOff>123825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28575</xdr:rowOff>
    </xdr:from>
    <xdr:to>
      <xdr:col>18</xdr:col>
      <xdr:colOff>19050</xdr:colOff>
      <xdr:row>26</xdr:row>
      <xdr:rowOff>142875</xdr:rowOff>
    </xdr:to>
    <xdr:graphicFrame macro="">
      <xdr:nvGraphicFramePr>
        <xdr:cNvPr id="11265" name="Chart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X50" sqref="X50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O135"/>
  <sheetViews>
    <sheetView tabSelected="1" zoomScale="110" zoomScaleNormal="110" workbookViewId="0">
      <pane xSplit="1" ySplit="2" topLeftCell="G124" activePane="bottomRight" state="frozenSplit"/>
      <selection pane="bottomRight" activeCell="L136" sqref="L136"/>
      <selection pane="bottomLeft" activeCell="A19" sqref="A19"/>
      <selection pane="topRight" activeCell="B1" sqref="B1"/>
    </sheetView>
  </sheetViews>
  <sheetFormatPr defaultRowHeight="12.75"/>
  <cols>
    <col min="2" max="2" width="6.28515625" style="3" customWidth="1"/>
    <col min="3" max="3" width="7.7109375" customWidth="1"/>
    <col min="4" max="6" width="8.42578125" customWidth="1"/>
    <col min="7" max="7" width="10.5703125" customWidth="1"/>
    <col min="8" max="8" width="8.28515625" customWidth="1"/>
    <col min="9" max="9" width="8.7109375" customWidth="1"/>
    <col min="11" max="11" width="6.28515625" customWidth="1"/>
    <col min="12" max="12" width="7.7109375" customWidth="1"/>
    <col min="13" max="13" width="7.140625" customWidth="1"/>
    <col min="14" max="14" width="8.7109375" customWidth="1"/>
    <col min="15" max="15" width="9.5703125" customWidth="1"/>
    <col min="16" max="16" width="8" bestFit="1" customWidth="1"/>
    <col min="17" max="17" width="9.5703125" customWidth="1"/>
    <col min="18" max="18" width="7.140625" customWidth="1"/>
    <col min="19" max="19" width="8.7109375" style="6" customWidth="1"/>
    <col min="20" max="20" width="8.5703125" style="6" customWidth="1"/>
    <col min="21" max="21" width="8.5703125" style="37" customWidth="1"/>
    <col min="22" max="24" width="8.5703125" style="5" customWidth="1"/>
    <col min="25" max="26" width="10.42578125" style="5" customWidth="1"/>
    <col min="27" max="27" width="8.5703125" style="31" customWidth="1"/>
    <col min="28" max="28" width="8.5703125" style="6" customWidth="1"/>
    <col min="29" max="29" width="7" customWidth="1"/>
    <col min="32" max="32" width="9.28515625" bestFit="1" customWidth="1"/>
    <col min="33" max="36" width="9.28515625" customWidth="1"/>
    <col min="41" max="41" width="11" customWidth="1"/>
    <col min="43" max="43" width="11" customWidth="1"/>
    <col min="44" max="44" width="13" style="5" customWidth="1"/>
  </cols>
  <sheetData>
    <row r="1" spans="1:44" s="87" customFormat="1" ht="15" customHeight="1">
      <c r="B1" s="88" t="s">
        <v>0</v>
      </c>
      <c r="C1" s="89" t="s">
        <v>1</v>
      </c>
      <c r="D1" s="89" t="s">
        <v>1</v>
      </c>
      <c r="E1" s="89" t="s">
        <v>2</v>
      </c>
      <c r="F1" s="89" t="s">
        <v>3</v>
      </c>
      <c r="G1" s="89" t="s">
        <v>1</v>
      </c>
      <c r="H1" s="89" t="s">
        <v>1</v>
      </c>
      <c r="I1" s="89" t="s">
        <v>1</v>
      </c>
      <c r="L1" s="87" t="s">
        <v>4</v>
      </c>
      <c r="P1" s="87" t="s">
        <v>5</v>
      </c>
      <c r="S1" s="90"/>
      <c r="T1" s="90"/>
      <c r="U1" s="91"/>
      <c r="V1" s="89" t="s">
        <v>6</v>
      </c>
      <c r="W1" s="89"/>
      <c r="X1" s="89"/>
      <c r="Y1" s="89"/>
      <c r="Z1" s="89"/>
      <c r="AA1" s="92" t="s">
        <v>7</v>
      </c>
      <c r="AF1" s="93" t="s">
        <v>8</v>
      </c>
      <c r="AG1" s="93" t="s">
        <v>9</v>
      </c>
      <c r="AH1" s="93" t="s">
        <v>10</v>
      </c>
      <c r="AI1" s="93" t="s">
        <v>11</v>
      </c>
      <c r="AJ1" s="93" t="s">
        <v>12</v>
      </c>
      <c r="AL1" s="87" t="s">
        <v>13</v>
      </c>
      <c r="AQ1" s="87" t="s">
        <v>14</v>
      </c>
      <c r="AR1" s="89" t="s">
        <v>15</v>
      </c>
    </row>
    <row r="2" spans="1:44" ht="15" customHeight="1">
      <c r="B2" s="3" t="s">
        <v>16</v>
      </c>
      <c r="C2" t="s">
        <v>17</v>
      </c>
      <c r="D2" t="s">
        <v>18</v>
      </c>
      <c r="E2" t="s">
        <v>19</v>
      </c>
      <c r="F2" t="s">
        <v>19</v>
      </c>
      <c r="G2" t="s">
        <v>20</v>
      </c>
      <c r="H2" t="s">
        <v>21</v>
      </c>
      <c r="I2" t="s">
        <v>22</v>
      </c>
      <c r="K2" t="s">
        <v>9</v>
      </c>
      <c r="L2" t="s">
        <v>10</v>
      </c>
      <c r="M2" t="s">
        <v>23</v>
      </c>
      <c r="N2" t="s">
        <v>24</v>
      </c>
      <c r="O2" t="s">
        <v>25</v>
      </c>
      <c r="P2" t="s">
        <v>23</v>
      </c>
      <c r="Q2" t="s">
        <v>26</v>
      </c>
      <c r="V2" s="5" t="s">
        <v>27</v>
      </c>
      <c r="W2" s="5" t="s">
        <v>9</v>
      </c>
      <c r="X2" s="5" t="s">
        <v>10</v>
      </c>
      <c r="Y2" s="5" t="s">
        <v>28</v>
      </c>
      <c r="Z2" s="82" t="s">
        <v>29</v>
      </c>
      <c r="AA2" s="30" t="s">
        <v>8</v>
      </c>
      <c r="AB2" t="s">
        <v>9</v>
      </c>
      <c r="AC2" t="s">
        <v>10</v>
      </c>
      <c r="AD2" t="s">
        <v>23</v>
      </c>
      <c r="AF2" s="42" t="s">
        <v>19</v>
      </c>
      <c r="AG2" s="42" t="s">
        <v>19</v>
      </c>
      <c r="AH2" s="42" t="s">
        <v>19</v>
      </c>
      <c r="AI2" s="42" t="s">
        <v>19</v>
      </c>
      <c r="AJ2" s="32" t="s">
        <v>30</v>
      </c>
      <c r="AL2" s="42" t="s">
        <v>9</v>
      </c>
      <c r="AM2" s="42" t="s">
        <v>10</v>
      </c>
      <c r="AN2" s="42" t="s">
        <v>23</v>
      </c>
      <c r="AO2" s="32" t="s">
        <v>31</v>
      </c>
      <c r="AR2" s="5" t="s">
        <v>32</v>
      </c>
    </row>
    <row r="3" spans="1:44">
      <c r="A3" s="1">
        <v>40787</v>
      </c>
      <c r="C3">
        <v>1919</v>
      </c>
      <c r="D3">
        <v>42</v>
      </c>
      <c r="G3">
        <f>C3-D3</f>
        <v>1877</v>
      </c>
      <c r="H3">
        <f>C3</f>
        <v>1919</v>
      </c>
      <c r="I3">
        <f>D3</f>
        <v>42</v>
      </c>
      <c r="J3" s="1">
        <v>40787</v>
      </c>
      <c r="K3" s="1"/>
      <c r="L3" s="1"/>
      <c r="P3">
        <f>M3</f>
        <v>0</v>
      </c>
      <c r="R3" s="19"/>
      <c r="S3" s="6" t="s">
        <v>33</v>
      </c>
    </row>
    <row r="4" spans="1:44">
      <c r="A4" s="1">
        <v>40817</v>
      </c>
      <c r="B4" s="3">
        <v>1</v>
      </c>
      <c r="C4">
        <v>1990</v>
      </c>
      <c r="D4">
        <v>587</v>
      </c>
      <c r="G4">
        <f t="shared" ref="G4:G11" si="0">G3+C4-D4</f>
        <v>3280</v>
      </c>
      <c r="H4">
        <f t="shared" ref="H4:H30" si="1">H3+C4</f>
        <v>3909</v>
      </c>
      <c r="I4">
        <f t="shared" ref="I4:I30" si="2">I3+D4</f>
        <v>629</v>
      </c>
      <c r="J4" s="1">
        <v>40817</v>
      </c>
      <c r="K4" s="3">
        <v>11</v>
      </c>
      <c r="L4" s="3">
        <v>7</v>
      </c>
      <c r="M4" s="3">
        <f t="shared" ref="M4:M49" si="3">SUM(K4:L4)</f>
        <v>18</v>
      </c>
      <c r="P4">
        <f>P3+M4</f>
        <v>18</v>
      </c>
      <c r="Q4" s="4">
        <f t="shared" ref="Q4:Q44" si="4">I4/P4</f>
        <v>34.944444444444443</v>
      </c>
      <c r="R4" s="43"/>
      <c r="S4" s="44" t="s">
        <v>34</v>
      </c>
    </row>
    <row r="5" spans="1:44">
      <c r="A5" s="1">
        <v>40848</v>
      </c>
      <c r="B5" s="3">
        <v>1</v>
      </c>
      <c r="C5">
        <v>2416</v>
      </c>
      <c r="D5">
        <v>482</v>
      </c>
      <c r="G5">
        <f t="shared" si="0"/>
        <v>5214</v>
      </c>
      <c r="H5">
        <f t="shared" si="1"/>
        <v>6325</v>
      </c>
      <c r="I5">
        <f t="shared" si="2"/>
        <v>1111</v>
      </c>
      <c r="J5" s="1">
        <v>40848</v>
      </c>
      <c r="K5" s="3">
        <v>47</v>
      </c>
      <c r="L5" s="3">
        <v>11</v>
      </c>
      <c r="M5" s="3">
        <f t="shared" si="3"/>
        <v>58</v>
      </c>
      <c r="P5">
        <f t="shared" ref="P5:P11" si="5">P4+M5</f>
        <v>76</v>
      </c>
      <c r="Q5" s="4">
        <f t="shared" si="4"/>
        <v>14.618421052631579</v>
      </c>
      <c r="R5" s="4"/>
    </row>
    <row r="6" spans="1:44">
      <c r="A6" s="1">
        <v>40878</v>
      </c>
      <c r="B6" s="3">
        <v>2</v>
      </c>
      <c r="C6">
        <v>483</v>
      </c>
      <c r="D6">
        <v>2250</v>
      </c>
      <c r="E6">
        <f>SUM(C3:C6)</f>
        <v>6808</v>
      </c>
      <c r="F6">
        <f>SUM(D3:D6)</f>
        <v>3361</v>
      </c>
      <c r="G6">
        <f t="shared" si="0"/>
        <v>3447</v>
      </c>
      <c r="H6">
        <f t="shared" si="1"/>
        <v>6808</v>
      </c>
      <c r="I6">
        <f t="shared" si="2"/>
        <v>3361</v>
      </c>
      <c r="J6" s="1">
        <v>40878</v>
      </c>
      <c r="K6" s="3">
        <v>142</v>
      </c>
      <c r="L6" s="3">
        <v>95</v>
      </c>
      <c r="M6" s="3">
        <f t="shared" si="3"/>
        <v>237</v>
      </c>
      <c r="N6" s="3">
        <f t="shared" ref="N6:N12" si="6">(M6+M5+M4)/3</f>
        <v>104.33333333333333</v>
      </c>
      <c r="O6" s="3"/>
      <c r="P6">
        <f t="shared" si="5"/>
        <v>313</v>
      </c>
      <c r="Q6" s="4">
        <f t="shared" si="4"/>
        <v>10.738019169329073</v>
      </c>
      <c r="R6" s="9">
        <f>SUM(M4:M6)</f>
        <v>313</v>
      </c>
      <c r="S6" s="10">
        <v>2011</v>
      </c>
    </row>
    <row r="7" spans="1:44">
      <c r="A7" s="1">
        <v>40909</v>
      </c>
      <c r="B7" s="3">
        <v>2</v>
      </c>
      <c r="C7">
        <v>273</v>
      </c>
      <c r="D7">
        <v>1014</v>
      </c>
      <c r="G7">
        <f t="shared" si="0"/>
        <v>2706</v>
      </c>
      <c r="H7">
        <f t="shared" si="1"/>
        <v>7081</v>
      </c>
      <c r="I7">
        <f t="shared" si="2"/>
        <v>4375</v>
      </c>
      <c r="J7" s="1">
        <v>40909</v>
      </c>
      <c r="K7" s="3">
        <v>93</v>
      </c>
      <c r="L7" s="3">
        <v>37</v>
      </c>
      <c r="M7" s="3">
        <f t="shared" si="3"/>
        <v>130</v>
      </c>
      <c r="N7" s="3">
        <f t="shared" si="6"/>
        <v>141.66666666666666</v>
      </c>
      <c r="O7" s="3"/>
      <c r="P7">
        <f t="shared" si="5"/>
        <v>443</v>
      </c>
      <c r="Q7" s="4">
        <f t="shared" si="4"/>
        <v>9.8758465011286685</v>
      </c>
      <c r="R7" s="9"/>
    </row>
    <row r="8" spans="1:44">
      <c r="A8" s="1">
        <v>40940</v>
      </c>
      <c r="B8" s="3">
        <v>2</v>
      </c>
      <c r="C8">
        <v>1204</v>
      </c>
      <c r="D8">
        <v>1234</v>
      </c>
      <c r="G8">
        <f t="shared" si="0"/>
        <v>2676</v>
      </c>
      <c r="H8">
        <f t="shared" si="1"/>
        <v>8285</v>
      </c>
      <c r="I8">
        <f t="shared" si="2"/>
        <v>5609</v>
      </c>
      <c r="J8" s="1">
        <v>40940</v>
      </c>
      <c r="K8" s="3">
        <v>143</v>
      </c>
      <c r="L8" s="3">
        <v>50</v>
      </c>
      <c r="M8" s="3">
        <f t="shared" si="3"/>
        <v>193</v>
      </c>
      <c r="N8" s="3">
        <f t="shared" si="6"/>
        <v>186.66666666666666</v>
      </c>
      <c r="O8" s="3"/>
      <c r="P8">
        <f t="shared" si="5"/>
        <v>636</v>
      </c>
      <c r="Q8" s="4">
        <f t="shared" si="4"/>
        <v>8.8191823899371062</v>
      </c>
      <c r="R8" s="9"/>
    </row>
    <row r="9" spans="1:44">
      <c r="A9" s="1">
        <v>40969</v>
      </c>
      <c r="B9" s="3">
        <v>4</v>
      </c>
      <c r="C9">
        <v>2908</v>
      </c>
      <c r="D9">
        <v>2639</v>
      </c>
      <c r="E9">
        <f>SUM(C3:C9)</f>
        <v>11193</v>
      </c>
      <c r="F9">
        <f>SUM(D3:D9)</f>
        <v>8248</v>
      </c>
      <c r="G9">
        <f t="shared" si="0"/>
        <v>2945</v>
      </c>
      <c r="H9">
        <f t="shared" si="1"/>
        <v>11193</v>
      </c>
      <c r="I9">
        <f t="shared" si="2"/>
        <v>8248</v>
      </c>
      <c r="J9" s="1">
        <v>40969</v>
      </c>
      <c r="K9" s="3">
        <v>222</v>
      </c>
      <c r="L9" s="3">
        <v>80</v>
      </c>
      <c r="M9" s="3">
        <f t="shared" si="3"/>
        <v>302</v>
      </c>
      <c r="N9" s="3">
        <f t="shared" si="6"/>
        <v>208.33333333333334</v>
      </c>
      <c r="O9" s="3"/>
      <c r="P9">
        <f t="shared" si="5"/>
        <v>938</v>
      </c>
      <c r="Q9" s="4">
        <f t="shared" si="4"/>
        <v>8.793176972281449</v>
      </c>
      <c r="R9" s="20">
        <f>SUM(M$4:M9)</f>
        <v>938</v>
      </c>
      <c r="S9" s="21" t="s">
        <v>35</v>
      </c>
    </row>
    <row r="10" spans="1:44">
      <c r="A10" s="1">
        <v>41000</v>
      </c>
      <c r="B10" s="3">
        <v>4</v>
      </c>
      <c r="C10">
        <v>1882</v>
      </c>
      <c r="D10">
        <v>2487</v>
      </c>
      <c r="G10">
        <f t="shared" si="0"/>
        <v>2340</v>
      </c>
      <c r="H10">
        <f t="shared" si="1"/>
        <v>13075</v>
      </c>
      <c r="I10">
        <f t="shared" si="2"/>
        <v>10735</v>
      </c>
      <c r="J10" s="1">
        <v>41000</v>
      </c>
      <c r="K10" s="3">
        <v>190</v>
      </c>
      <c r="L10" s="3">
        <v>49</v>
      </c>
      <c r="M10" s="3">
        <f t="shared" si="3"/>
        <v>239</v>
      </c>
      <c r="N10" s="3">
        <f t="shared" si="6"/>
        <v>244.66666666666666</v>
      </c>
      <c r="O10" s="3"/>
      <c r="P10">
        <f t="shared" si="5"/>
        <v>1177</v>
      </c>
      <c r="Q10" s="4">
        <f t="shared" si="4"/>
        <v>9.1206457094307556</v>
      </c>
      <c r="R10" s="9"/>
    </row>
    <row r="11" spans="1:44">
      <c r="A11" s="1">
        <v>41030</v>
      </c>
      <c r="B11" s="3">
        <v>4</v>
      </c>
      <c r="C11">
        <v>1901</v>
      </c>
      <c r="D11">
        <v>2304</v>
      </c>
      <c r="G11">
        <f t="shared" si="0"/>
        <v>1937</v>
      </c>
      <c r="H11">
        <f t="shared" si="1"/>
        <v>14976</v>
      </c>
      <c r="I11">
        <f t="shared" si="2"/>
        <v>13039</v>
      </c>
      <c r="J11" s="1">
        <v>41030</v>
      </c>
      <c r="K11" s="3">
        <v>196</v>
      </c>
      <c r="L11" s="3">
        <v>91</v>
      </c>
      <c r="M11" s="3">
        <f t="shared" si="3"/>
        <v>287</v>
      </c>
      <c r="N11" s="3">
        <f t="shared" si="6"/>
        <v>276</v>
      </c>
      <c r="O11" s="3"/>
      <c r="P11">
        <f t="shared" si="5"/>
        <v>1464</v>
      </c>
      <c r="Q11" s="4">
        <f t="shared" si="4"/>
        <v>8.9064207650273222</v>
      </c>
      <c r="R11" s="9"/>
    </row>
    <row r="12" spans="1:44">
      <c r="A12" s="1">
        <v>41061</v>
      </c>
      <c r="B12" s="3">
        <v>5</v>
      </c>
      <c r="C12">
        <v>2057</v>
      </c>
      <c r="D12">
        <v>2768</v>
      </c>
      <c r="G12">
        <f t="shared" ref="G12:G18" si="7">G11+C12-D12</f>
        <v>1226</v>
      </c>
      <c r="H12">
        <f t="shared" si="1"/>
        <v>17033</v>
      </c>
      <c r="I12">
        <f t="shared" si="2"/>
        <v>15807</v>
      </c>
      <c r="J12" s="1">
        <v>41061</v>
      </c>
      <c r="K12" s="3">
        <v>244</v>
      </c>
      <c r="L12" s="3">
        <v>104</v>
      </c>
      <c r="M12" s="3">
        <f t="shared" si="3"/>
        <v>348</v>
      </c>
      <c r="N12" s="3">
        <f t="shared" si="6"/>
        <v>291.33333333333331</v>
      </c>
      <c r="O12" s="3"/>
      <c r="P12">
        <f t="shared" ref="P12:P18" si="8">P11+M12</f>
        <v>1812</v>
      </c>
      <c r="Q12" s="4">
        <f t="shared" si="4"/>
        <v>8.7235099337748352</v>
      </c>
      <c r="R12" s="9"/>
    </row>
    <row r="13" spans="1:44">
      <c r="A13" s="1">
        <v>41091</v>
      </c>
      <c r="B13" s="3">
        <v>5</v>
      </c>
      <c r="C13">
        <v>3644</v>
      </c>
      <c r="D13">
        <v>3537</v>
      </c>
      <c r="G13">
        <f t="shared" si="7"/>
        <v>1333</v>
      </c>
      <c r="H13">
        <f t="shared" si="1"/>
        <v>20677</v>
      </c>
      <c r="I13">
        <f t="shared" si="2"/>
        <v>19344</v>
      </c>
      <c r="J13" s="1">
        <v>41091</v>
      </c>
      <c r="K13" s="3">
        <v>300</v>
      </c>
      <c r="L13" s="3">
        <v>164</v>
      </c>
      <c r="M13" s="3">
        <f t="shared" si="3"/>
        <v>464</v>
      </c>
      <c r="N13" s="3">
        <f t="shared" ref="N13:N18" si="9">(M13+M12+M11)/3</f>
        <v>366.33333333333331</v>
      </c>
      <c r="O13" s="3"/>
      <c r="P13">
        <f t="shared" si="8"/>
        <v>2276</v>
      </c>
      <c r="Q13" s="4">
        <f t="shared" si="4"/>
        <v>8.4991212653778554</v>
      </c>
      <c r="R13" s="9"/>
    </row>
    <row r="14" spans="1:44">
      <c r="A14" s="1">
        <v>41122</v>
      </c>
      <c r="B14" s="3">
        <v>6</v>
      </c>
      <c r="C14">
        <v>3668</v>
      </c>
      <c r="D14">
        <v>3384</v>
      </c>
      <c r="G14">
        <f t="shared" si="7"/>
        <v>1617</v>
      </c>
      <c r="H14">
        <f t="shared" si="1"/>
        <v>24345</v>
      </c>
      <c r="I14">
        <f t="shared" si="2"/>
        <v>22728</v>
      </c>
      <c r="J14" s="1">
        <v>41122</v>
      </c>
      <c r="K14" s="3">
        <v>356</v>
      </c>
      <c r="L14" s="3">
        <v>231</v>
      </c>
      <c r="M14" s="18">
        <f t="shared" si="3"/>
        <v>587</v>
      </c>
      <c r="N14" s="3">
        <f t="shared" si="9"/>
        <v>466.33333333333331</v>
      </c>
      <c r="O14" s="3"/>
      <c r="P14">
        <f t="shared" si="8"/>
        <v>2863</v>
      </c>
      <c r="Q14" s="4">
        <f t="shared" si="4"/>
        <v>7.9385260216556057</v>
      </c>
      <c r="R14" s="9"/>
    </row>
    <row r="15" spans="1:44">
      <c r="A15" s="1">
        <v>41153</v>
      </c>
      <c r="B15" s="3">
        <v>6</v>
      </c>
      <c r="C15">
        <v>3067</v>
      </c>
      <c r="D15">
        <v>3851</v>
      </c>
      <c r="G15">
        <f t="shared" si="7"/>
        <v>833</v>
      </c>
      <c r="H15">
        <f t="shared" si="1"/>
        <v>27412</v>
      </c>
      <c r="I15">
        <f t="shared" si="2"/>
        <v>26579</v>
      </c>
      <c r="J15" s="1">
        <v>41153</v>
      </c>
      <c r="K15" s="3">
        <v>260</v>
      </c>
      <c r="L15" s="3">
        <v>86</v>
      </c>
      <c r="M15" s="3">
        <f t="shared" si="3"/>
        <v>346</v>
      </c>
      <c r="N15" s="3">
        <f t="shared" si="9"/>
        <v>465.66666666666669</v>
      </c>
      <c r="O15" s="3"/>
      <c r="P15">
        <f t="shared" si="8"/>
        <v>3209</v>
      </c>
      <c r="Q15" s="4">
        <f t="shared" si="4"/>
        <v>8.2826425677781241</v>
      </c>
      <c r="R15" s="17">
        <f t="shared" ref="R15:R25" si="10">SUM(M4:M15)</f>
        <v>3209</v>
      </c>
      <c r="S15" s="6" t="s">
        <v>19</v>
      </c>
      <c r="AQ15" s="1">
        <f t="shared" ref="AQ15:AQ46" si="11">A15</f>
        <v>41153</v>
      </c>
      <c r="AR15" s="53">
        <f t="shared" ref="AR15:AR46" si="12">M15-M3</f>
        <v>346</v>
      </c>
    </row>
    <row r="16" spans="1:44">
      <c r="A16" s="1">
        <v>41183</v>
      </c>
      <c r="B16" s="3">
        <v>7</v>
      </c>
      <c r="C16">
        <v>10796</v>
      </c>
      <c r="D16">
        <v>3435</v>
      </c>
      <c r="G16">
        <f t="shared" si="7"/>
        <v>8194</v>
      </c>
      <c r="H16">
        <f t="shared" si="1"/>
        <v>38208</v>
      </c>
      <c r="I16">
        <f t="shared" si="2"/>
        <v>30014</v>
      </c>
      <c r="J16" s="1">
        <v>41183</v>
      </c>
      <c r="K16" s="3">
        <v>357</v>
      </c>
      <c r="L16" s="3">
        <v>138</v>
      </c>
      <c r="M16" s="3">
        <f t="shared" si="3"/>
        <v>495</v>
      </c>
      <c r="N16" s="3">
        <f t="shared" si="9"/>
        <v>476</v>
      </c>
      <c r="O16" s="3"/>
      <c r="P16">
        <f t="shared" si="8"/>
        <v>3704</v>
      </c>
      <c r="Q16" s="4">
        <f t="shared" si="4"/>
        <v>8.1031317494600437</v>
      </c>
      <c r="R16" s="24">
        <f t="shared" si="10"/>
        <v>3686</v>
      </c>
      <c r="S16" s="25" t="s">
        <v>36</v>
      </c>
      <c r="AQ16" s="1">
        <f t="shared" si="11"/>
        <v>41183</v>
      </c>
      <c r="AR16" s="53">
        <f t="shared" si="12"/>
        <v>477</v>
      </c>
    </row>
    <row r="17" spans="1:44">
      <c r="A17" s="1">
        <v>41214</v>
      </c>
      <c r="B17" s="3">
        <v>7</v>
      </c>
      <c r="C17">
        <v>5911</v>
      </c>
      <c r="D17">
        <v>5099</v>
      </c>
      <c r="G17">
        <f t="shared" si="7"/>
        <v>9006</v>
      </c>
      <c r="H17">
        <f t="shared" si="1"/>
        <v>44119</v>
      </c>
      <c r="I17">
        <f t="shared" si="2"/>
        <v>35113</v>
      </c>
      <c r="J17" s="1">
        <v>41214</v>
      </c>
      <c r="K17" s="3">
        <v>382</v>
      </c>
      <c r="L17" s="3">
        <v>178</v>
      </c>
      <c r="M17" s="3">
        <f t="shared" si="3"/>
        <v>560</v>
      </c>
      <c r="N17" s="3">
        <f t="shared" si="9"/>
        <v>467</v>
      </c>
      <c r="O17" s="3">
        <f>SUM(N6:N17)/12</f>
        <v>307.86111111111109</v>
      </c>
      <c r="P17">
        <f t="shared" si="8"/>
        <v>4264</v>
      </c>
      <c r="Q17" s="4">
        <f t="shared" si="4"/>
        <v>8.2347560975609753</v>
      </c>
      <c r="R17" s="17">
        <f t="shared" si="10"/>
        <v>4188</v>
      </c>
      <c r="S17" s="6" t="s">
        <v>19</v>
      </c>
      <c r="AQ17" s="1">
        <f t="shared" si="11"/>
        <v>41214</v>
      </c>
      <c r="AR17" s="53">
        <f t="shared" si="12"/>
        <v>502</v>
      </c>
    </row>
    <row r="18" spans="1:44">
      <c r="A18" s="1">
        <v>41244</v>
      </c>
      <c r="B18" s="3">
        <v>9</v>
      </c>
      <c r="C18">
        <v>9416</v>
      </c>
      <c r="D18">
        <v>7110</v>
      </c>
      <c r="E18">
        <f>SUM(C7:C18)</f>
        <v>46727</v>
      </c>
      <c r="F18">
        <f>SUM(D7:D18)</f>
        <v>38862</v>
      </c>
      <c r="G18">
        <f t="shared" si="7"/>
        <v>11312</v>
      </c>
      <c r="H18">
        <f t="shared" si="1"/>
        <v>53535</v>
      </c>
      <c r="I18">
        <f t="shared" si="2"/>
        <v>42223</v>
      </c>
      <c r="J18" s="1">
        <v>41244</v>
      </c>
      <c r="K18" s="3">
        <v>476</v>
      </c>
      <c r="L18" s="3">
        <v>248</v>
      </c>
      <c r="M18" s="18">
        <f t="shared" si="3"/>
        <v>724</v>
      </c>
      <c r="N18" s="3">
        <f t="shared" si="9"/>
        <v>593</v>
      </c>
      <c r="O18" s="3">
        <f>SUM(N7:N18)/12</f>
        <v>348.58333333333331</v>
      </c>
      <c r="P18">
        <f t="shared" si="8"/>
        <v>4988</v>
      </c>
      <c r="Q18" s="4">
        <f t="shared" si="4"/>
        <v>8.4649157979149958</v>
      </c>
      <c r="R18" s="22">
        <f t="shared" si="10"/>
        <v>4675</v>
      </c>
      <c r="S18" s="23">
        <v>2012</v>
      </c>
      <c r="AQ18" s="1">
        <f t="shared" si="11"/>
        <v>41244</v>
      </c>
      <c r="AR18" s="53">
        <f t="shared" si="12"/>
        <v>487</v>
      </c>
    </row>
    <row r="19" spans="1:44">
      <c r="A19" s="1">
        <v>41275</v>
      </c>
      <c r="B19" s="3">
        <v>9</v>
      </c>
      <c r="C19">
        <v>3126</v>
      </c>
      <c r="D19">
        <v>5068</v>
      </c>
      <c r="G19">
        <f t="shared" ref="G19:G25" si="13">G18+C19-D19</f>
        <v>9370</v>
      </c>
      <c r="H19">
        <f t="shared" si="1"/>
        <v>56661</v>
      </c>
      <c r="I19">
        <f t="shared" si="2"/>
        <v>47291</v>
      </c>
      <c r="J19" s="1">
        <v>41275</v>
      </c>
      <c r="K19" s="3">
        <v>395</v>
      </c>
      <c r="L19" s="3">
        <v>134</v>
      </c>
      <c r="M19" s="3">
        <f t="shared" si="3"/>
        <v>529</v>
      </c>
      <c r="N19" s="3">
        <f t="shared" ref="N19:N44" si="14">(M19+M18+M17)/3</f>
        <v>604.33333333333337</v>
      </c>
      <c r="O19" s="3">
        <f>SUM(N8:N19)/12</f>
        <v>387.13888888888886</v>
      </c>
      <c r="P19">
        <f>P18+M19</f>
        <v>5517</v>
      </c>
      <c r="Q19" s="4">
        <f t="shared" si="4"/>
        <v>8.5718687692586553</v>
      </c>
      <c r="R19" s="3">
        <f t="shared" si="10"/>
        <v>5074</v>
      </c>
      <c r="S19" s="6" t="s">
        <v>19</v>
      </c>
      <c r="AQ19" s="1">
        <f t="shared" si="11"/>
        <v>41275</v>
      </c>
      <c r="AR19" s="53">
        <f t="shared" si="12"/>
        <v>399</v>
      </c>
    </row>
    <row r="20" spans="1:44">
      <c r="A20" s="1">
        <v>41306</v>
      </c>
      <c r="B20" s="3">
        <v>10</v>
      </c>
      <c r="C20">
        <v>4345</v>
      </c>
      <c r="D20">
        <v>6087</v>
      </c>
      <c r="G20">
        <f t="shared" si="13"/>
        <v>7628</v>
      </c>
      <c r="H20">
        <f t="shared" si="1"/>
        <v>61006</v>
      </c>
      <c r="I20">
        <f t="shared" si="2"/>
        <v>53378</v>
      </c>
      <c r="J20" s="1">
        <v>41306</v>
      </c>
      <c r="K20" s="3">
        <v>463</v>
      </c>
      <c r="L20" s="3">
        <v>199</v>
      </c>
      <c r="M20" s="3">
        <f t="shared" si="3"/>
        <v>662</v>
      </c>
      <c r="N20" s="3">
        <f t="shared" si="14"/>
        <v>638.33333333333337</v>
      </c>
      <c r="O20" s="3">
        <f>SUM(N9:N20)/12</f>
        <v>424.77777777777777</v>
      </c>
      <c r="P20">
        <f>P19+M20</f>
        <v>6179</v>
      </c>
      <c r="Q20" s="4">
        <f t="shared" si="4"/>
        <v>8.6386146625667593</v>
      </c>
      <c r="R20" s="3">
        <f t="shared" si="10"/>
        <v>5543</v>
      </c>
      <c r="S20" s="6" t="s">
        <v>19</v>
      </c>
      <c r="AQ20" s="1">
        <f t="shared" si="11"/>
        <v>41306</v>
      </c>
      <c r="AR20" s="53">
        <f t="shared" si="12"/>
        <v>469</v>
      </c>
    </row>
    <row r="21" spans="1:44">
      <c r="A21" s="1">
        <v>41334</v>
      </c>
      <c r="B21" s="3">
        <v>10</v>
      </c>
      <c r="C21">
        <v>4676</v>
      </c>
      <c r="D21">
        <v>6683</v>
      </c>
      <c r="E21">
        <f>SUM(C10:C21)</f>
        <v>54489</v>
      </c>
      <c r="F21">
        <f>SUM(D10:D21)</f>
        <v>51813</v>
      </c>
      <c r="G21">
        <f t="shared" si="13"/>
        <v>5621</v>
      </c>
      <c r="H21">
        <f t="shared" si="1"/>
        <v>65682</v>
      </c>
      <c r="I21">
        <f t="shared" si="2"/>
        <v>60061</v>
      </c>
      <c r="J21" s="1">
        <v>41334</v>
      </c>
      <c r="K21" s="3">
        <v>527</v>
      </c>
      <c r="L21" s="3">
        <v>237</v>
      </c>
      <c r="M21" s="3">
        <f t="shared" si="3"/>
        <v>764</v>
      </c>
      <c r="N21" s="3">
        <f t="shared" si="14"/>
        <v>651.66666666666663</v>
      </c>
      <c r="O21" s="3">
        <f>SUM(N10:N21)/12</f>
        <v>461.72222222222217</v>
      </c>
      <c r="P21">
        <f>P20+M21</f>
        <v>6943</v>
      </c>
      <c r="Q21" s="4">
        <f t="shared" si="4"/>
        <v>8.6505833213308367</v>
      </c>
      <c r="R21" s="20">
        <f t="shared" si="10"/>
        <v>6005</v>
      </c>
      <c r="S21" s="21" t="s">
        <v>37</v>
      </c>
      <c r="AQ21" s="1">
        <f t="shared" si="11"/>
        <v>41334</v>
      </c>
      <c r="AR21" s="53">
        <f t="shared" si="12"/>
        <v>462</v>
      </c>
    </row>
    <row r="22" spans="1:44">
      <c r="A22" s="1">
        <v>41365</v>
      </c>
      <c r="B22" s="3">
        <v>10</v>
      </c>
      <c r="C22">
        <v>6188</v>
      </c>
      <c r="D22">
        <v>6990</v>
      </c>
      <c r="G22">
        <f t="shared" si="13"/>
        <v>4819</v>
      </c>
      <c r="H22">
        <f t="shared" si="1"/>
        <v>71870</v>
      </c>
      <c r="I22">
        <f t="shared" si="2"/>
        <v>67051</v>
      </c>
      <c r="J22" s="1">
        <v>41365</v>
      </c>
      <c r="K22" s="3">
        <v>626</v>
      </c>
      <c r="L22" s="3">
        <v>254</v>
      </c>
      <c r="M22" s="3">
        <f t="shared" si="3"/>
        <v>880</v>
      </c>
      <c r="N22" s="3">
        <f t="shared" si="14"/>
        <v>768.66666666666663</v>
      </c>
      <c r="O22" s="3">
        <f t="shared" ref="O22:O85" si="15">SUM(N11:N22)/12</f>
        <v>505.38888888888891</v>
      </c>
      <c r="P22">
        <f>P21+M22</f>
        <v>7823</v>
      </c>
      <c r="Q22" s="4">
        <f t="shared" si="4"/>
        <v>8.5710085644893255</v>
      </c>
      <c r="R22" s="3">
        <f t="shared" si="10"/>
        <v>6646</v>
      </c>
      <c r="S22" s="6" t="s">
        <v>19</v>
      </c>
      <c r="AQ22" s="1">
        <f t="shared" si="11"/>
        <v>41365</v>
      </c>
      <c r="AR22" s="53">
        <f t="shared" si="12"/>
        <v>641</v>
      </c>
    </row>
    <row r="23" spans="1:44">
      <c r="A23" s="1">
        <v>41395</v>
      </c>
      <c r="B23" s="3">
        <v>11</v>
      </c>
      <c r="C23">
        <v>8281</v>
      </c>
      <c r="D23">
        <v>8913</v>
      </c>
      <c r="G23">
        <f t="shared" si="13"/>
        <v>4187</v>
      </c>
      <c r="H23">
        <f t="shared" si="1"/>
        <v>80151</v>
      </c>
      <c r="I23">
        <f t="shared" si="2"/>
        <v>75964</v>
      </c>
      <c r="J23" s="1">
        <v>41395</v>
      </c>
      <c r="K23" s="3">
        <v>734</v>
      </c>
      <c r="L23" s="3">
        <v>375</v>
      </c>
      <c r="M23" s="3">
        <f t="shared" si="3"/>
        <v>1109</v>
      </c>
      <c r="N23" s="3">
        <f t="shared" si="14"/>
        <v>917.66666666666663</v>
      </c>
      <c r="O23" s="3">
        <f t="shared" si="15"/>
        <v>558.8611111111112</v>
      </c>
      <c r="P23">
        <f>P22+M23</f>
        <v>8932</v>
      </c>
      <c r="Q23" s="4">
        <f t="shared" si="4"/>
        <v>8.5047021943573675</v>
      </c>
      <c r="R23" s="3">
        <f t="shared" si="10"/>
        <v>7468</v>
      </c>
      <c r="S23" s="6" t="s">
        <v>19</v>
      </c>
      <c r="AQ23" s="1">
        <f t="shared" si="11"/>
        <v>41395</v>
      </c>
      <c r="AR23" s="53">
        <f t="shared" si="12"/>
        <v>822</v>
      </c>
    </row>
    <row r="24" spans="1:44">
      <c r="A24" s="1">
        <v>41426</v>
      </c>
      <c r="B24" s="3">
        <v>12</v>
      </c>
      <c r="C24">
        <v>5477</v>
      </c>
      <c r="D24">
        <v>7572</v>
      </c>
      <c r="G24">
        <f t="shared" si="13"/>
        <v>2092</v>
      </c>
      <c r="H24">
        <f t="shared" si="1"/>
        <v>85628</v>
      </c>
      <c r="I24">
        <f t="shared" si="2"/>
        <v>83536</v>
      </c>
      <c r="J24" s="1">
        <v>41426</v>
      </c>
      <c r="K24" s="3">
        <v>710</v>
      </c>
      <c r="L24" s="3">
        <v>355</v>
      </c>
      <c r="M24" s="3">
        <f>SUM(K24:L24)</f>
        <v>1065</v>
      </c>
      <c r="N24" s="3">
        <f t="shared" si="14"/>
        <v>1018</v>
      </c>
      <c r="O24" s="3">
        <f t="shared" si="15"/>
        <v>619.41666666666674</v>
      </c>
      <c r="P24">
        <f t="shared" ref="P24:P44" si="16">P23+M24</f>
        <v>9997</v>
      </c>
      <c r="Q24" s="4">
        <f t="shared" si="4"/>
        <v>8.3561068320496155</v>
      </c>
      <c r="R24" s="3">
        <f t="shared" si="10"/>
        <v>8185</v>
      </c>
      <c r="S24" s="6" t="s">
        <v>19</v>
      </c>
      <c r="AQ24" s="1">
        <f t="shared" si="11"/>
        <v>41426</v>
      </c>
      <c r="AR24" s="53">
        <f t="shared" si="12"/>
        <v>717</v>
      </c>
    </row>
    <row r="25" spans="1:44">
      <c r="A25" s="1">
        <v>41456</v>
      </c>
      <c r="B25" s="3">
        <v>12</v>
      </c>
      <c r="C25">
        <v>9479</v>
      </c>
      <c r="D25">
        <v>7131</v>
      </c>
      <c r="G25">
        <f t="shared" si="13"/>
        <v>4440</v>
      </c>
      <c r="H25">
        <f t="shared" si="1"/>
        <v>95107</v>
      </c>
      <c r="I25">
        <f t="shared" si="2"/>
        <v>90667</v>
      </c>
      <c r="J25" s="1">
        <v>41456</v>
      </c>
      <c r="K25" s="3">
        <v>809</v>
      </c>
      <c r="L25" s="3">
        <v>362</v>
      </c>
      <c r="M25" s="18">
        <f t="shared" si="3"/>
        <v>1171</v>
      </c>
      <c r="N25" s="3">
        <f t="shared" si="14"/>
        <v>1115</v>
      </c>
      <c r="O25" s="3">
        <f t="shared" si="15"/>
        <v>681.80555555555566</v>
      </c>
      <c r="P25">
        <f t="shared" si="16"/>
        <v>11168</v>
      </c>
      <c r="Q25" s="4">
        <f t="shared" si="4"/>
        <v>8.118463467048711</v>
      </c>
      <c r="R25" s="3">
        <f t="shared" si="10"/>
        <v>8892</v>
      </c>
      <c r="S25" s="6" t="s">
        <v>19</v>
      </c>
      <c r="AQ25" s="1">
        <f t="shared" si="11"/>
        <v>41456</v>
      </c>
      <c r="AR25" s="53">
        <f t="shared" si="12"/>
        <v>707</v>
      </c>
    </row>
    <row r="26" spans="1:44">
      <c r="A26" s="1">
        <v>41487</v>
      </c>
      <c r="B26" s="3">
        <v>13</v>
      </c>
      <c r="C26">
        <v>8514</v>
      </c>
      <c r="D26">
        <v>7487</v>
      </c>
      <c r="G26">
        <f>G25+C26-D26</f>
        <v>5467</v>
      </c>
      <c r="H26">
        <f t="shared" si="1"/>
        <v>103621</v>
      </c>
      <c r="I26">
        <f t="shared" si="2"/>
        <v>98154</v>
      </c>
      <c r="J26" s="1">
        <v>41487</v>
      </c>
      <c r="K26" s="3">
        <v>671</v>
      </c>
      <c r="L26" s="3">
        <v>416</v>
      </c>
      <c r="M26" s="3">
        <f t="shared" si="3"/>
        <v>1087</v>
      </c>
      <c r="N26" s="3">
        <f t="shared" si="14"/>
        <v>1107.6666666666667</v>
      </c>
      <c r="O26" s="3">
        <f t="shared" si="15"/>
        <v>735.25</v>
      </c>
      <c r="P26">
        <f t="shared" si="16"/>
        <v>12255</v>
      </c>
      <c r="Q26" s="4">
        <f t="shared" si="4"/>
        <v>8.0093023255813947</v>
      </c>
      <c r="R26" s="3">
        <f t="shared" ref="R26:R44" si="17">SUM(M15:M26)</f>
        <v>9392</v>
      </c>
      <c r="S26" s="6" t="s">
        <v>19</v>
      </c>
      <c r="AQ26" s="1">
        <f t="shared" si="11"/>
        <v>41487</v>
      </c>
      <c r="AR26" s="53">
        <f t="shared" si="12"/>
        <v>500</v>
      </c>
    </row>
    <row r="27" spans="1:44">
      <c r="A27" s="1">
        <v>41518</v>
      </c>
      <c r="B27" s="3">
        <v>13</v>
      </c>
      <c r="C27">
        <v>5903</v>
      </c>
      <c r="D27">
        <v>7437</v>
      </c>
      <c r="G27">
        <f>G26+C27-D27</f>
        <v>3933</v>
      </c>
      <c r="H27">
        <f t="shared" si="1"/>
        <v>109524</v>
      </c>
      <c r="I27">
        <f t="shared" si="2"/>
        <v>105591</v>
      </c>
      <c r="J27" s="1">
        <v>41518</v>
      </c>
      <c r="K27" s="3">
        <v>612</v>
      </c>
      <c r="L27" s="3">
        <v>320</v>
      </c>
      <c r="M27" s="3">
        <f t="shared" si="3"/>
        <v>932</v>
      </c>
      <c r="N27" s="3">
        <f t="shared" si="14"/>
        <v>1063.3333333333333</v>
      </c>
      <c r="O27" s="3">
        <f t="shared" si="15"/>
        <v>785.05555555555566</v>
      </c>
      <c r="P27">
        <f t="shared" si="16"/>
        <v>13187</v>
      </c>
      <c r="Q27" s="4">
        <f t="shared" si="4"/>
        <v>8.0072040646090841</v>
      </c>
      <c r="R27" s="3">
        <f t="shared" si="17"/>
        <v>9978</v>
      </c>
      <c r="S27" s="6" t="s">
        <v>19</v>
      </c>
      <c r="AQ27" s="1">
        <f t="shared" si="11"/>
        <v>41518</v>
      </c>
      <c r="AR27" s="53">
        <f t="shared" si="12"/>
        <v>586</v>
      </c>
    </row>
    <row r="28" spans="1:44">
      <c r="A28" s="1">
        <v>41548</v>
      </c>
      <c r="B28" s="3">
        <v>13</v>
      </c>
      <c r="C28">
        <v>13965</v>
      </c>
      <c r="D28">
        <v>8602</v>
      </c>
      <c r="G28">
        <f>G27+C28-D28</f>
        <v>9296</v>
      </c>
      <c r="H28">
        <f t="shared" si="1"/>
        <v>123489</v>
      </c>
      <c r="I28">
        <f t="shared" si="2"/>
        <v>114193</v>
      </c>
      <c r="J28" s="1">
        <v>41548</v>
      </c>
      <c r="K28" s="3">
        <v>922</v>
      </c>
      <c r="L28" s="3">
        <v>439</v>
      </c>
      <c r="M28" s="18">
        <f t="shared" si="3"/>
        <v>1361</v>
      </c>
      <c r="N28" s="3">
        <f t="shared" si="14"/>
        <v>1126.6666666666667</v>
      </c>
      <c r="O28" s="3">
        <f t="shared" si="15"/>
        <v>839.27777777777783</v>
      </c>
      <c r="P28">
        <f t="shared" si="16"/>
        <v>14548</v>
      </c>
      <c r="Q28" s="4">
        <f t="shared" si="4"/>
        <v>7.849395105856475</v>
      </c>
      <c r="R28" s="24">
        <f t="shared" si="17"/>
        <v>10844</v>
      </c>
      <c r="S28" s="25" t="s">
        <v>38</v>
      </c>
      <c r="AQ28" s="1">
        <f t="shared" si="11"/>
        <v>41548</v>
      </c>
      <c r="AR28" s="53">
        <f t="shared" si="12"/>
        <v>866</v>
      </c>
    </row>
    <row r="29" spans="1:44">
      <c r="A29" s="1">
        <v>41579</v>
      </c>
      <c r="B29" s="3">
        <v>14</v>
      </c>
      <c r="C29">
        <v>7420</v>
      </c>
      <c r="D29">
        <v>8969</v>
      </c>
      <c r="G29">
        <f>G28+C29-D29</f>
        <v>7747</v>
      </c>
      <c r="H29">
        <f t="shared" si="1"/>
        <v>130909</v>
      </c>
      <c r="I29">
        <f t="shared" si="2"/>
        <v>123162</v>
      </c>
      <c r="J29" s="1">
        <v>41579</v>
      </c>
      <c r="K29" s="3">
        <v>754</v>
      </c>
      <c r="L29" s="3">
        <v>340</v>
      </c>
      <c r="M29" s="3">
        <f t="shared" si="3"/>
        <v>1094</v>
      </c>
      <c r="N29" s="3">
        <f t="shared" si="14"/>
        <v>1129</v>
      </c>
      <c r="O29" s="3">
        <f t="shared" si="15"/>
        <v>894.44444444444446</v>
      </c>
      <c r="P29">
        <f t="shared" si="16"/>
        <v>15642</v>
      </c>
      <c r="Q29" s="4">
        <f t="shared" si="4"/>
        <v>7.8738013041810513</v>
      </c>
      <c r="R29" s="17">
        <f t="shared" si="17"/>
        <v>11378</v>
      </c>
      <c r="AQ29" s="1">
        <f t="shared" si="11"/>
        <v>41579</v>
      </c>
      <c r="AR29" s="53">
        <f t="shared" si="12"/>
        <v>534</v>
      </c>
    </row>
    <row r="30" spans="1:44">
      <c r="A30" s="1">
        <v>41609</v>
      </c>
      <c r="B30" s="3">
        <v>16</v>
      </c>
      <c r="C30">
        <v>16185</v>
      </c>
      <c r="D30">
        <v>8528</v>
      </c>
      <c r="E30">
        <f>SUM(C19:C30)</f>
        <v>93559</v>
      </c>
      <c r="F30">
        <f>SUM(D19:D30)</f>
        <v>89467</v>
      </c>
      <c r="G30">
        <f>G29+C30-D30</f>
        <v>15404</v>
      </c>
      <c r="H30">
        <f t="shared" si="1"/>
        <v>147094</v>
      </c>
      <c r="I30">
        <f t="shared" si="2"/>
        <v>131690</v>
      </c>
      <c r="J30" s="1">
        <v>41609</v>
      </c>
      <c r="K30" s="3">
        <v>831</v>
      </c>
      <c r="L30" s="3">
        <v>474</v>
      </c>
      <c r="M30" s="3">
        <f t="shared" si="3"/>
        <v>1305</v>
      </c>
      <c r="N30" s="3">
        <f t="shared" si="14"/>
        <v>1253.3333333333333</v>
      </c>
      <c r="O30" s="3">
        <f t="shared" si="15"/>
        <v>949.47222222222217</v>
      </c>
      <c r="P30">
        <f t="shared" si="16"/>
        <v>16947</v>
      </c>
      <c r="Q30" s="4">
        <f t="shared" si="4"/>
        <v>7.7706968785035704</v>
      </c>
      <c r="R30" s="22">
        <f t="shared" si="17"/>
        <v>11959</v>
      </c>
      <c r="S30" s="23">
        <v>2013</v>
      </c>
      <c r="T30" s="46" t="s">
        <v>39</v>
      </c>
      <c r="AQ30" s="1">
        <f t="shared" si="11"/>
        <v>41609</v>
      </c>
      <c r="AR30" s="53">
        <f t="shared" si="12"/>
        <v>581</v>
      </c>
    </row>
    <row r="31" spans="1:44">
      <c r="A31" s="1">
        <v>41640</v>
      </c>
      <c r="B31" s="3">
        <v>20</v>
      </c>
      <c r="C31">
        <v>5398</v>
      </c>
      <c r="D31">
        <v>9087</v>
      </c>
      <c r="G31">
        <f t="shared" ref="G31:G42" si="18">G30+C31-D31</f>
        <v>11715</v>
      </c>
      <c r="H31">
        <f t="shared" ref="H31:H42" si="19">H30+C31</f>
        <v>152492</v>
      </c>
      <c r="I31">
        <f t="shared" ref="I31:I42" si="20">I30+D31</f>
        <v>140777</v>
      </c>
      <c r="J31" s="1">
        <v>41640</v>
      </c>
      <c r="K31" s="3">
        <v>943</v>
      </c>
      <c r="L31" s="3">
        <v>485</v>
      </c>
      <c r="M31" s="18">
        <f t="shared" si="3"/>
        <v>1428</v>
      </c>
      <c r="N31" s="3">
        <f t="shared" si="14"/>
        <v>1275.6666666666667</v>
      </c>
      <c r="O31" s="3">
        <f t="shared" si="15"/>
        <v>1005.4166666666666</v>
      </c>
      <c r="P31" s="27">
        <f t="shared" si="16"/>
        <v>18375</v>
      </c>
      <c r="Q31" s="4">
        <f t="shared" si="4"/>
        <v>7.6613333333333333</v>
      </c>
      <c r="R31" s="17">
        <f t="shared" si="17"/>
        <v>12858</v>
      </c>
      <c r="S31" s="6" t="s">
        <v>19</v>
      </c>
      <c r="AQ31" s="1">
        <f t="shared" si="11"/>
        <v>41640</v>
      </c>
      <c r="AR31" s="53">
        <f t="shared" si="12"/>
        <v>899</v>
      </c>
    </row>
    <row r="32" spans="1:44">
      <c r="A32" s="1">
        <v>41671</v>
      </c>
      <c r="B32" s="3">
        <v>20</v>
      </c>
      <c r="C32">
        <v>8584</v>
      </c>
      <c r="D32">
        <v>8005</v>
      </c>
      <c r="G32" s="70">
        <f t="shared" si="18"/>
        <v>12294</v>
      </c>
      <c r="H32">
        <f t="shared" si="19"/>
        <v>161076</v>
      </c>
      <c r="I32">
        <f t="shared" si="20"/>
        <v>148782</v>
      </c>
      <c r="J32" s="1">
        <v>41671</v>
      </c>
      <c r="K32" s="3">
        <v>940</v>
      </c>
      <c r="L32" s="3">
        <v>395</v>
      </c>
      <c r="M32" s="3">
        <f t="shared" si="3"/>
        <v>1335</v>
      </c>
      <c r="N32" s="3">
        <f t="shared" si="14"/>
        <v>1356</v>
      </c>
      <c r="O32" s="3">
        <f t="shared" si="15"/>
        <v>1065.2222222222224</v>
      </c>
      <c r="P32">
        <f t="shared" si="16"/>
        <v>19710</v>
      </c>
      <c r="Q32" s="4">
        <f t="shared" si="4"/>
        <v>7.5485540334855408</v>
      </c>
      <c r="R32" s="17">
        <f t="shared" si="17"/>
        <v>13531</v>
      </c>
      <c r="S32" s="6" t="s">
        <v>19</v>
      </c>
      <c r="AQ32" s="1">
        <f t="shared" si="11"/>
        <v>41671</v>
      </c>
      <c r="AR32" s="53">
        <f t="shared" si="12"/>
        <v>673</v>
      </c>
    </row>
    <row r="33" spans="1:44">
      <c r="A33" s="1">
        <v>41699</v>
      </c>
      <c r="B33" s="3">
        <v>20</v>
      </c>
      <c r="C33">
        <v>7526</v>
      </c>
      <c r="D33">
        <v>8619</v>
      </c>
      <c r="E33">
        <f>SUM(C22:C33)</f>
        <v>102920</v>
      </c>
      <c r="F33">
        <f>SUM(D22:D33)</f>
        <v>97340</v>
      </c>
      <c r="G33">
        <f t="shared" si="18"/>
        <v>11201</v>
      </c>
      <c r="H33">
        <f t="shared" si="19"/>
        <v>168602</v>
      </c>
      <c r="I33">
        <f t="shared" si="20"/>
        <v>157401</v>
      </c>
      <c r="J33" s="1">
        <v>41699</v>
      </c>
      <c r="K33" s="3">
        <v>989</v>
      </c>
      <c r="L33" s="3">
        <v>395</v>
      </c>
      <c r="M33" s="3">
        <f t="shared" si="3"/>
        <v>1384</v>
      </c>
      <c r="N33" s="3">
        <f t="shared" si="14"/>
        <v>1382.3333333333333</v>
      </c>
      <c r="O33" s="3">
        <f t="shared" si="15"/>
        <v>1126.1111111111111</v>
      </c>
      <c r="P33">
        <f t="shared" si="16"/>
        <v>21094</v>
      </c>
      <c r="Q33" s="4">
        <f t="shared" si="4"/>
        <v>7.4618848961790079</v>
      </c>
      <c r="R33" s="20">
        <f t="shared" si="17"/>
        <v>14151</v>
      </c>
      <c r="S33" s="21" t="s">
        <v>40</v>
      </c>
      <c r="AQ33" s="1">
        <f t="shared" si="11"/>
        <v>41699</v>
      </c>
      <c r="AR33" s="53">
        <f t="shared" si="12"/>
        <v>620</v>
      </c>
    </row>
    <row r="34" spans="1:44">
      <c r="A34" s="1">
        <v>41730</v>
      </c>
      <c r="B34" s="3">
        <v>22</v>
      </c>
      <c r="C34">
        <v>7748</v>
      </c>
      <c r="D34">
        <v>9386</v>
      </c>
      <c r="G34">
        <f t="shared" si="18"/>
        <v>9563</v>
      </c>
      <c r="H34">
        <f t="shared" si="19"/>
        <v>176350</v>
      </c>
      <c r="I34">
        <f t="shared" si="20"/>
        <v>166787</v>
      </c>
      <c r="J34" s="1">
        <v>41730</v>
      </c>
      <c r="K34" s="3">
        <v>881</v>
      </c>
      <c r="L34" s="3">
        <v>450</v>
      </c>
      <c r="M34" s="3">
        <f t="shared" si="3"/>
        <v>1331</v>
      </c>
      <c r="N34" s="3">
        <f t="shared" si="14"/>
        <v>1350</v>
      </c>
      <c r="O34" s="3">
        <f t="shared" si="15"/>
        <v>1174.5555555555554</v>
      </c>
      <c r="P34">
        <f t="shared" si="16"/>
        <v>22425</v>
      </c>
      <c r="Q34" s="4">
        <f t="shared" si="4"/>
        <v>7.4375473801560759</v>
      </c>
      <c r="R34" s="17">
        <f t="shared" si="17"/>
        <v>14602</v>
      </c>
      <c r="S34" s="6" t="s">
        <v>19</v>
      </c>
      <c r="AQ34" s="1">
        <f t="shared" si="11"/>
        <v>41730</v>
      </c>
      <c r="AR34" s="53">
        <f t="shared" si="12"/>
        <v>451</v>
      </c>
    </row>
    <row r="35" spans="1:44">
      <c r="A35" s="1">
        <v>41760</v>
      </c>
      <c r="B35" s="3">
        <v>24</v>
      </c>
      <c r="C35">
        <v>7687</v>
      </c>
      <c r="D35">
        <v>7845</v>
      </c>
      <c r="G35">
        <f t="shared" si="18"/>
        <v>9405</v>
      </c>
      <c r="H35">
        <f t="shared" si="19"/>
        <v>184037</v>
      </c>
      <c r="I35">
        <f t="shared" si="20"/>
        <v>174632</v>
      </c>
      <c r="J35" s="1">
        <v>41760</v>
      </c>
      <c r="K35" s="3">
        <v>806</v>
      </c>
      <c r="L35" s="3">
        <v>374</v>
      </c>
      <c r="M35" s="3">
        <f t="shared" si="3"/>
        <v>1180</v>
      </c>
      <c r="N35" s="3">
        <f t="shared" si="14"/>
        <v>1298.3333333333333</v>
      </c>
      <c r="O35" s="3">
        <f t="shared" si="15"/>
        <v>1206.2777777777778</v>
      </c>
      <c r="P35">
        <f t="shared" si="16"/>
        <v>23605</v>
      </c>
      <c r="Q35" s="4">
        <f t="shared" si="4"/>
        <v>7.3980936242321542</v>
      </c>
      <c r="R35" s="17">
        <f t="shared" si="17"/>
        <v>14673</v>
      </c>
      <c r="S35" s="6" t="s">
        <v>19</v>
      </c>
      <c r="AQ35" s="1">
        <f t="shared" si="11"/>
        <v>41760</v>
      </c>
      <c r="AR35" s="53">
        <f t="shared" si="12"/>
        <v>71</v>
      </c>
    </row>
    <row r="36" spans="1:44">
      <c r="A36" s="1">
        <v>41791</v>
      </c>
      <c r="B36" s="3">
        <v>23</v>
      </c>
      <c r="C36">
        <v>6321</v>
      </c>
      <c r="D36">
        <v>5764</v>
      </c>
      <c r="G36">
        <f t="shared" si="18"/>
        <v>9962</v>
      </c>
      <c r="H36">
        <f t="shared" si="19"/>
        <v>190358</v>
      </c>
      <c r="I36">
        <f t="shared" si="20"/>
        <v>180396</v>
      </c>
      <c r="J36" s="1">
        <v>41791</v>
      </c>
      <c r="K36" s="3">
        <v>775</v>
      </c>
      <c r="L36" s="3">
        <v>286</v>
      </c>
      <c r="M36" s="3">
        <f t="shared" si="3"/>
        <v>1061</v>
      </c>
      <c r="N36" s="3">
        <f t="shared" si="14"/>
        <v>1190.6666666666667</v>
      </c>
      <c r="O36" s="3">
        <f t="shared" si="15"/>
        <v>1220.6666666666667</v>
      </c>
      <c r="P36">
        <f t="shared" si="16"/>
        <v>24666</v>
      </c>
      <c r="Q36" s="4">
        <f t="shared" si="4"/>
        <v>7.3135490148382392</v>
      </c>
      <c r="R36" s="17">
        <f t="shared" si="17"/>
        <v>14669</v>
      </c>
      <c r="S36" s="6" t="s">
        <v>19</v>
      </c>
      <c r="AQ36" s="1">
        <f t="shared" si="11"/>
        <v>41791</v>
      </c>
      <c r="AR36" s="53">
        <f t="shared" si="12"/>
        <v>-4</v>
      </c>
    </row>
    <row r="37" spans="1:44">
      <c r="A37" s="1">
        <v>41821</v>
      </c>
      <c r="B37" s="3">
        <v>23</v>
      </c>
      <c r="C37">
        <v>11349</v>
      </c>
      <c r="D37">
        <v>8833</v>
      </c>
      <c r="G37">
        <f t="shared" si="18"/>
        <v>12478</v>
      </c>
      <c r="H37">
        <f t="shared" si="19"/>
        <v>201707</v>
      </c>
      <c r="I37">
        <f t="shared" si="20"/>
        <v>189229</v>
      </c>
      <c r="J37" s="1">
        <v>41821</v>
      </c>
      <c r="K37" s="3">
        <v>863</v>
      </c>
      <c r="L37" s="3">
        <v>439</v>
      </c>
      <c r="M37" s="3">
        <f t="shared" si="3"/>
        <v>1302</v>
      </c>
      <c r="N37" s="3">
        <f t="shared" si="14"/>
        <v>1181</v>
      </c>
      <c r="O37" s="3">
        <f t="shared" si="15"/>
        <v>1226.1666666666667</v>
      </c>
      <c r="P37">
        <f t="shared" si="16"/>
        <v>25968</v>
      </c>
      <c r="Q37" s="4">
        <f t="shared" si="4"/>
        <v>7.2870070856438698</v>
      </c>
      <c r="R37" s="17">
        <f t="shared" si="17"/>
        <v>14800</v>
      </c>
      <c r="S37" s="6" t="s">
        <v>19</v>
      </c>
      <c r="AQ37" s="1">
        <f t="shared" si="11"/>
        <v>41821</v>
      </c>
      <c r="AR37" s="53">
        <f t="shared" si="12"/>
        <v>131</v>
      </c>
    </row>
    <row r="38" spans="1:44">
      <c r="A38" s="1">
        <v>41852</v>
      </c>
      <c r="B38" s="3">
        <v>24</v>
      </c>
      <c r="C38">
        <v>5898</v>
      </c>
      <c r="D38">
        <v>7647</v>
      </c>
      <c r="G38">
        <f t="shared" si="18"/>
        <v>10729</v>
      </c>
      <c r="H38">
        <f t="shared" si="19"/>
        <v>207605</v>
      </c>
      <c r="I38">
        <f t="shared" si="20"/>
        <v>196876</v>
      </c>
      <c r="J38" s="1">
        <v>41852</v>
      </c>
      <c r="K38" s="3">
        <v>917</v>
      </c>
      <c r="L38" s="3">
        <v>527</v>
      </c>
      <c r="M38" s="18">
        <f t="shared" si="3"/>
        <v>1444</v>
      </c>
      <c r="N38" s="3">
        <f t="shared" si="14"/>
        <v>1269</v>
      </c>
      <c r="O38" s="3">
        <f t="shared" si="15"/>
        <v>1239.6111111111111</v>
      </c>
      <c r="P38">
        <f t="shared" si="16"/>
        <v>27412</v>
      </c>
      <c r="Q38" s="4">
        <f t="shared" si="4"/>
        <v>7.1821100248066543</v>
      </c>
      <c r="R38" s="17">
        <f t="shared" si="17"/>
        <v>15157</v>
      </c>
      <c r="S38" s="6" t="s">
        <v>19</v>
      </c>
      <c r="AQ38" s="1">
        <f t="shared" si="11"/>
        <v>41852</v>
      </c>
      <c r="AR38" s="53">
        <f t="shared" si="12"/>
        <v>357</v>
      </c>
    </row>
    <row r="39" spans="1:44">
      <c r="A39" s="1">
        <v>41883</v>
      </c>
      <c r="B39" s="3">
        <v>24</v>
      </c>
      <c r="C39">
        <v>7708</v>
      </c>
      <c r="D39">
        <v>7849</v>
      </c>
      <c r="G39">
        <f t="shared" si="18"/>
        <v>10588</v>
      </c>
      <c r="H39">
        <f t="shared" si="19"/>
        <v>215313</v>
      </c>
      <c r="I39">
        <f t="shared" si="20"/>
        <v>204725</v>
      </c>
      <c r="J39" s="1">
        <v>41883</v>
      </c>
      <c r="K39" s="3">
        <v>898</v>
      </c>
      <c r="L39" s="3">
        <v>446</v>
      </c>
      <c r="M39" s="3">
        <f t="shared" si="3"/>
        <v>1344</v>
      </c>
      <c r="N39" s="3">
        <f t="shared" si="14"/>
        <v>1363.3333333333333</v>
      </c>
      <c r="O39" s="3">
        <f t="shared" si="15"/>
        <v>1264.6111111111111</v>
      </c>
      <c r="P39">
        <f t="shared" si="16"/>
        <v>28756</v>
      </c>
      <c r="Q39" s="4">
        <f t="shared" si="4"/>
        <v>7.1193837807761859</v>
      </c>
      <c r="R39" s="17">
        <f t="shared" si="17"/>
        <v>15569</v>
      </c>
      <c r="S39" s="6" t="s">
        <v>19</v>
      </c>
      <c r="AQ39" s="1">
        <f t="shared" si="11"/>
        <v>41883</v>
      </c>
      <c r="AR39" s="53">
        <f t="shared" si="12"/>
        <v>412</v>
      </c>
    </row>
    <row r="40" spans="1:44">
      <c r="A40" s="1">
        <v>41913</v>
      </c>
      <c r="B40" s="3">
        <v>24</v>
      </c>
      <c r="C40">
        <v>15297</v>
      </c>
      <c r="D40">
        <v>9445</v>
      </c>
      <c r="G40">
        <f t="shared" si="18"/>
        <v>16440</v>
      </c>
      <c r="H40">
        <f t="shared" si="19"/>
        <v>230610</v>
      </c>
      <c r="I40">
        <f t="shared" si="20"/>
        <v>214170</v>
      </c>
      <c r="J40" s="1">
        <v>41913</v>
      </c>
      <c r="K40" s="3">
        <v>853</v>
      </c>
      <c r="L40" s="3">
        <v>370</v>
      </c>
      <c r="M40" s="3">
        <f t="shared" si="3"/>
        <v>1223</v>
      </c>
      <c r="N40" s="3">
        <f t="shared" si="14"/>
        <v>1337</v>
      </c>
      <c r="O40" s="3">
        <f t="shared" si="15"/>
        <v>1282.1388888888889</v>
      </c>
      <c r="P40">
        <f t="shared" si="16"/>
        <v>29979</v>
      </c>
      <c r="Q40" s="4">
        <f t="shared" si="4"/>
        <v>7.1440008005603923</v>
      </c>
      <c r="R40" s="24">
        <f t="shared" si="17"/>
        <v>15431</v>
      </c>
      <c r="S40" s="25" t="s">
        <v>41</v>
      </c>
      <c r="AQ40" s="1">
        <f t="shared" si="11"/>
        <v>41913</v>
      </c>
      <c r="AR40" s="53">
        <f t="shared" si="12"/>
        <v>-138</v>
      </c>
    </row>
    <row r="41" spans="1:44">
      <c r="A41" s="1">
        <v>41944</v>
      </c>
      <c r="B41" s="3">
        <v>25</v>
      </c>
      <c r="C41">
        <v>16193</v>
      </c>
      <c r="D41">
        <v>8728</v>
      </c>
      <c r="G41">
        <f t="shared" si="18"/>
        <v>23905</v>
      </c>
      <c r="H41">
        <f t="shared" si="19"/>
        <v>246803</v>
      </c>
      <c r="I41">
        <f t="shared" si="20"/>
        <v>222898</v>
      </c>
      <c r="J41" s="1">
        <v>41944</v>
      </c>
      <c r="K41" s="3">
        <v>807</v>
      </c>
      <c r="L41" s="3">
        <v>345</v>
      </c>
      <c r="M41" s="3">
        <f t="shared" si="3"/>
        <v>1152</v>
      </c>
      <c r="N41" s="3">
        <f t="shared" si="14"/>
        <v>1239.6666666666667</v>
      </c>
      <c r="O41" s="3">
        <f t="shared" si="15"/>
        <v>1291.3611111111111</v>
      </c>
      <c r="P41">
        <f t="shared" si="16"/>
        <v>31131</v>
      </c>
      <c r="Q41" s="4">
        <f t="shared" si="4"/>
        <v>7.1600012848928722</v>
      </c>
      <c r="R41" s="17">
        <f t="shared" si="17"/>
        <v>15489</v>
      </c>
      <c r="S41" s="6" t="s">
        <v>19</v>
      </c>
      <c r="AQ41" s="1">
        <f t="shared" si="11"/>
        <v>41944</v>
      </c>
      <c r="AR41" s="53">
        <f t="shared" si="12"/>
        <v>58</v>
      </c>
    </row>
    <row r="42" spans="1:44">
      <c r="A42" s="1">
        <v>41974</v>
      </c>
      <c r="B42" s="3">
        <v>26</v>
      </c>
      <c r="C42">
        <v>8910</v>
      </c>
      <c r="D42">
        <v>12356</v>
      </c>
      <c r="E42">
        <f>SUM(C31:C42)</f>
        <v>108619</v>
      </c>
      <c r="F42">
        <f>SUM(D31:D42)</f>
        <v>103564</v>
      </c>
      <c r="G42">
        <f t="shared" si="18"/>
        <v>20459</v>
      </c>
      <c r="H42">
        <f t="shared" si="19"/>
        <v>255713</v>
      </c>
      <c r="I42">
        <f t="shared" si="20"/>
        <v>235254</v>
      </c>
      <c r="J42" s="1">
        <v>41974</v>
      </c>
      <c r="K42" s="3">
        <v>987</v>
      </c>
      <c r="L42" s="3">
        <v>637</v>
      </c>
      <c r="M42" s="18">
        <f t="shared" si="3"/>
        <v>1624</v>
      </c>
      <c r="N42" s="3">
        <f t="shared" si="14"/>
        <v>1333</v>
      </c>
      <c r="O42" s="3">
        <f t="shared" si="15"/>
        <v>1298</v>
      </c>
      <c r="P42">
        <f t="shared" si="16"/>
        <v>32755</v>
      </c>
      <c r="Q42" s="4">
        <f t="shared" si="4"/>
        <v>7.1822317203480388</v>
      </c>
      <c r="R42" s="22">
        <f t="shared" si="17"/>
        <v>15808</v>
      </c>
      <c r="S42" s="23">
        <v>2014</v>
      </c>
      <c r="T42" s="46" t="s">
        <v>39</v>
      </c>
      <c r="AQ42" s="1">
        <f t="shared" si="11"/>
        <v>41974</v>
      </c>
      <c r="AR42" s="53">
        <f t="shared" si="12"/>
        <v>319</v>
      </c>
    </row>
    <row r="43" spans="1:44">
      <c r="A43" s="1">
        <v>42005</v>
      </c>
      <c r="B43" s="3">
        <v>26</v>
      </c>
      <c r="C43">
        <v>9793</v>
      </c>
      <c r="D43">
        <v>8633</v>
      </c>
      <c r="G43">
        <f t="shared" ref="G43:G51" si="21">G42+C43-D43</f>
        <v>21619</v>
      </c>
      <c r="H43">
        <f t="shared" ref="H43:H51" si="22">H42+C43</f>
        <v>265506</v>
      </c>
      <c r="I43">
        <f t="shared" ref="I43:I51" si="23">I42+D43</f>
        <v>243887</v>
      </c>
      <c r="J43" s="1">
        <v>42005</v>
      </c>
      <c r="K43" s="3">
        <v>688</v>
      </c>
      <c r="L43" s="3">
        <v>315</v>
      </c>
      <c r="M43" s="3">
        <f t="shared" si="3"/>
        <v>1003</v>
      </c>
      <c r="N43" s="3">
        <f t="shared" si="14"/>
        <v>1259.6666666666667</v>
      </c>
      <c r="O43" s="3">
        <f t="shared" si="15"/>
        <v>1296.6666666666665</v>
      </c>
      <c r="P43">
        <f t="shared" si="16"/>
        <v>33758</v>
      </c>
      <c r="Q43" s="4">
        <f t="shared" si="4"/>
        <v>7.2245689910539728</v>
      </c>
      <c r="R43" s="17">
        <f t="shared" si="17"/>
        <v>15383</v>
      </c>
      <c r="S43" s="6" t="s">
        <v>19</v>
      </c>
      <c r="AQ43" s="1">
        <f t="shared" si="11"/>
        <v>42005</v>
      </c>
      <c r="AR43" s="53">
        <f t="shared" si="12"/>
        <v>-425</v>
      </c>
    </row>
    <row r="44" spans="1:44">
      <c r="A44" s="1">
        <v>42036</v>
      </c>
      <c r="B44" s="3">
        <v>26</v>
      </c>
      <c r="C44">
        <v>6812</v>
      </c>
      <c r="D44">
        <v>6829</v>
      </c>
      <c r="G44">
        <f t="shared" si="21"/>
        <v>21602</v>
      </c>
      <c r="H44">
        <f t="shared" si="22"/>
        <v>272318</v>
      </c>
      <c r="I44">
        <f t="shared" si="23"/>
        <v>250716</v>
      </c>
      <c r="J44" s="1">
        <v>42036</v>
      </c>
      <c r="K44" s="3">
        <v>664</v>
      </c>
      <c r="L44" s="3">
        <v>308</v>
      </c>
      <c r="M44" s="3">
        <f t="shared" si="3"/>
        <v>972</v>
      </c>
      <c r="N44" s="3">
        <f t="shared" si="14"/>
        <v>1199.6666666666667</v>
      </c>
      <c r="O44" s="3">
        <f t="shared" si="15"/>
        <v>1283.6388888888887</v>
      </c>
      <c r="P44">
        <f t="shared" si="16"/>
        <v>34730</v>
      </c>
      <c r="Q44" s="4">
        <f t="shared" si="4"/>
        <v>7.2190037431615321</v>
      </c>
      <c r="R44" s="17">
        <f t="shared" si="17"/>
        <v>15020</v>
      </c>
      <c r="S44" s="6" t="s">
        <v>19</v>
      </c>
      <c r="AQ44" s="1">
        <f t="shared" si="11"/>
        <v>42036</v>
      </c>
      <c r="AR44" s="53">
        <f t="shared" si="12"/>
        <v>-363</v>
      </c>
    </row>
    <row r="45" spans="1:44">
      <c r="A45" s="1">
        <v>42064</v>
      </c>
      <c r="B45" s="3">
        <v>28</v>
      </c>
      <c r="C45">
        <v>8503</v>
      </c>
      <c r="D45">
        <v>13057</v>
      </c>
      <c r="E45">
        <f>SUM(C34:C45)</f>
        <v>112219</v>
      </c>
      <c r="F45">
        <f>SUM(D34:D45)</f>
        <v>106372</v>
      </c>
      <c r="G45">
        <f t="shared" si="21"/>
        <v>17048</v>
      </c>
      <c r="H45">
        <f t="shared" si="22"/>
        <v>280821</v>
      </c>
      <c r="I45">
        <f t="shared" si="23"/>
        <v>263773</v>
      </c>
      <c r="J45" s="1">
        <v>42064</v>
      </c>
      <c r="K45" s="3">
        <v>728</v>
      </c>
      <c r="L45" s="3">
        <v>334</v>
      </c>
      <c r="M45" s="3">
        <f t="shared" si="3"/>
        <v>1062</v>
      </c>
      <c r="N45" s="3">
        <f t="shared" ref="N45:N51" si="24">(M45+M44+M43)/3</f>
        <v>1012.3333333333334</v>
      </c>
      <c r="O45" s="3">
        <f t="shared" si="15"/>
        <v>1252.8055555555554</v>
      </c>
      <c r="P45">
        <f t="shared" ref="P45:P51" si="25">P44+M45</f>
        <v>35792</v>
      </c>
      <c r="Q45" s="4">
        <f t="shared" ref="Q45:Q51" si="26">I45/P45</f>
        <v>7.3696077335717476</v>
      </c>
      <c r="R45" s="35">
        <f>SUM(M34:M45)</f>
        <v>14698</v>
      </c>
      <c r="S45" s="21" t="s">
        <v>42</v>
      </c>
      <c r="Z45" s="82" t="s">
        <v>29</v>
      </c>
      <c r="AA45" s="6"/>
      <c r="AL45" s="29" t="s">
        <v>13</v>
      </c>
      <c r="AO45" s="32" t="s">
        <v>31</v>
      </c>
      <c r="AQ45" s="1">
        <f t="shared" si="11"/>
        <v>42064</v>
      </c>
      <c r="AR45" s="53">
        <f t="shared" si="12"/>
        <v>-322</v>
      </c>
    </row>
    <row r="46" spans="1:44">
      <c r="A46" s="1">
        <v>42095</v>
      </c>
      <c r="B46" s="3">
        <v>28</v>
      </c>
      <c r="C46">
        <v>6040</v>
      </c>
      <c r="D46">
        <v>9493</v>
      </c>
      <c r="G46">
        <f t="shared" si="21"/>
        <v>13595</v>
      </c>
      <c r="H46">
        <f t="shared" si="22"/>
        <v>286861</v>
      </c>
      <c r="I46">
        <f t="shared" si="23"/>
        <v>273266</v>
      </c>
      <c r="J46" s="1">
        <v>42095</v>
      </c>
      <c r="K46" s="3">
        <v>500</v>
      </c>
      <c r="L46" s="3">
        <v>221</v>
      </c>
      <c r="M46" s="3">
        <f t="shared" si="3"/>
        <v>721</v>
      </c>
      <c r="N46" s="3">
        <f t="shared" si="24"/>
        <v>918.33333333333337</v>
      </c>
      <c r="O46" s="3">
        <f t="shared" si="15"/>
        <v>1216.8333333333333</v>
      </c>
      <c r="P46">
        <f t="shared" si="25"/>
        <v>36513</v>
      </c>
      <c r="Q46" s="4">
        <f t="shared" si="26"/>
        <v>7.4840741653657599</v>
      </c>
      <c r="R46" s="17">
        <f t="shared" ref="R46:R51" si="27">SUM(M35:M46)</f>
        <v>14088</v>
      </c>
      <c r="S46" s="6" t="s">
        <v>19</v>
      </c>
      <c r="U46" s="33"/>
      <c r="V46" s="81">
        <v>19</v>
      </c>
      <c r="W46" s="5">
        <v>28</v>
      </c>
      <c r="X46" s="5">
        <v>14</v>
      </c>
      <c r="Y46" s="5">
        <f>X46+W46</f>
        <v>42</v>
      </c>
      <c r="Z46" s="83">
        <f>V46*49</f>
        <v>931</v>
      </c>
      <c r="AA46">
        <f>V46</f>
        <v>19</v>
      </c>
      <c r="AB46">
        <f>W46</f>
        <v>28</v>
      </c>
      <c r="AC46">
        <f>X46</f>
        <v>14</v>
      </c>
      <c r="AD46">
        <f>Y46</f>
        <v>42</v>
      </c>
      <c r="AE46" s="39">
        <f>AD46/AA46</f>
        <v>2.2105263157894739</v>
      </c>
      <c r="AF46" s="39"/>
      <c r="AG46" s="39"/>
      <c r="AH46" s="39"/>
      <c r="AI46" s="39"/>
      <c r="AJ46" s="39"/>
      <c r="AK46" s="1">
        <v>42095</v>
      </c>
      <c r="AL46" s="3">
        <f t="shared" ref="AL46:AL68" si="28">K46-W46</f>
        <v>472</v>
      </c>
      <c r="AM46" s="3">
        <f t="shared" ref="AM46:AM57" si="29">L46-X46</f>
        <v>207</v>
      </c>
      <c r="AN46" s="3">
        <f>AL46+AM46</f>
        <v>679</v>
      </c>
      <c r="AO46" s="34">
        <f>Y46/(AN46+Y46)</f>
        <v>5.8252427184466021E-2</v>
      </c>
      <c r="AQ46" s="1">
        <f t="shared" si="11"/>
        <v>42095</v>
      </c>
      <c r="AR46" s="53">
        <f t="shared" si="12"/>
        <v>-610</v>
      </c>
    </row>
    <row r="47" spans="1:44">
      <c r="A47" s="1">
        <v>42125</v>
      </c>
      <c r="B47" s="3">
        <v>28</v>
      </c>
      <c r="C47">
        <v>8293</v>
      </c>
      <c r="D47">
        <v>7002</v>
      </c>
      <c r="G47">
        <f t="shared" si="21"/>
        <v>14886</v>
      </c>
      <c r="H47">
        <f t="shared" si="22"/>
        <v>295154</v>
      </c>
      <c r="I47">
        <f t="shared" si="23"/>
        <v>280268</v>
      </c>
      <c r="J47" s="1">
        <v>42125</v>
      </c>
      <c r="K47" s="3">
        <v>731</v>
      </c>
      <c r="L47" s="3">
        <v>338</v>
      </c>
      <c r="M47" s="3">
        <f t="shared" si="3"/>
        <v>1069</v>
      </c>
      <c r="N47" s="3">
        <f t="shared" si="24"/>
        <v>950.66666666666663</v>
      </c>
      <c r="O47" s="3">
        <f t="shared" si="15"/>
        <v>1187.8611111111111</v>
      </c>
      <c r="P47">
        <f t="shared" si="25"/>
        <v>37582</v>
      </c>
      <c r="Q47" s="4">
        <f t="shared" si="26"/>
        <v>7.4575062529934542</v>
      </c>
      <c r="R47" s="17">
        <f t="shared" si="27"/>
        <v>13977</v>
      </c>
      <c r="S47" s="6" t="s">
        <v>19</v>
      </c>
      <c r="T47" s="6" t="s">
        <v>43</v>
      </c>
      <c r="U47" s="33"/>
      <c r="V47" s="81">
        <v>140</v>
      </c>
      <c r="W47" s="5">
        <v>180</v>
      </c>
      <c r="X47" s="5">
        <v>85</v>
      </c>
      <c r="Y47" s="5">
        <f>X47+W47</f>
        <v>265</v>
      </c>
      <c r="Z47" s="83">
        <f t="shared" ref="Z47:Z69" si="30">V47*49</f>
        <v>6860</v>
      </c>
      <c r="AA47">
        <f t="shared" ref="AA47:AA52" si="31">AA46+V47</f>
        <v>159</v>
      </c>
      <c r="AB47">
        <f t="shared" ref="AB47:AB52" si="32">AB46+W47</f>
        <v>208</v>
      </c>
      <c r="AC47">
        <f t="shared" ref="AC47:AC52" si="33">AC46+X47</f>
        <v>99</v>
      </c>
      <c r="AD47">
        <f t="shared" ref="AD47:AD52" si="34">AD46+Y47</f>
        <v>307</v>
      </c>
      <c r="AE47" s="39">
        <f t="shared" ref="AE47:AE64" si="35">AD47/AA47</f>
        <v>1.9308176100628931</v>
      </c>
      <c r="AF47" s="39"/>
      <c r="AG47" s="39"/>
      <c r="AH47" s="39"/>
      <c r="AI47" s="39"/>
      <c r="AJ47" s="39"/>
      <c r="AK47" s="1">
        <v>42125</v>
      </c>
      <c r="AL47" s="3">
        <f t="shared" si="28"/>
        <v>551</v>
      </c>
      <c r="AM47" s="3">
        <f t="shared" si="29"/>
        <v>253</v>
      </c>
      <c r="AN47" s="3">
        <f t="shared" ref="AN47:AN110" si="36">AL47+AM47</f>
        <v>804</v>
      </c>
      <c r="AO47" s="34">
        <f t="shared" ref="AO47:AO57" si="37">Y47/(AN47+Y47)</f>
        <v>0.24789522918615528</v>
      </c>
      <c r="AQ47" s="1">
        <f t="shared" ref="AQ47:AQ78" si="38">A47</f>
        <v>42125</v>
      </c>
      <c r="AR47" s="53">
        <f t="shared" ref="AR47:AR78" si="39">M47-M35</f>
        <v>-111</v>
      </c>
    </row>
    <row r="48" spans="1:44">
      <c r="A48" s="1">
        <v>42156</v>
      </c>
      <c r="B48" s="3">
        <v>28</v>
      </c>
      <c r="C48">
        <v>5815</v>
      </c>
      <c r="D48">
        <v>9976</v>
      </c>
      <c r="G48">
        <f>G47+C48-D48</f>
        <v>10725</v>
      </c>
      <c r="H48">
        <f t="shared" si="22"/>
        <v>300969</v>
      </c>
      <c r="I48">
        <f t="shared" si="23"/>
        <v>290244</v>
      </c>
      <c r="J48" s="1">
        <v>42156</v>
      </c>
      <c r="K48" s="3">
        <v>823</v>
      </c>
      <c r="L48" s="3">
        <v>374</v>
      </c>
      <c r="M48" s="3">
        <f>SUM(K48:L48)</f>
        <v>1197</v>
      </c>
      <c r="N48" s="3">
        <f t="shared" si="24"/>
        <v>995.66666666666663</v>
      </c>
      <c r="O48" s="3">
        <f t="shared" si="15"/>
        <v>1171.6111111111111</v>
      </c>
      <c r="P48">
        <f t="shared" si="25"/>
        <v>38779</v>
      </c>
      <c r="Q48" s="4">
        <f t="shared" si="26"/>
        <v>7.4845663890249874</v>
      </c>
      <c r="R48" s="17">
        <f t="shared" si="27"/>
        <v>14113</v>
      </c>
      <c r="S48" s="6" t="s">
        <v>19</v>
      </c>
      <c r="U48" s="33"/>
      <c r="V48" s="81">
        <v>146</v>
      </c>
      <c r="W48" s="5">
        <v>270</v>
      </c>
      <c r="X48" s="5">
        <v>163</v>
      </c>
      <c r="Y48" s="5">
        <f t="shared" ref="Y48:Y73" si="40">X48+W48</f>
        <v>433</v>
      </c>
      <c r="Z48" s="83">
        <f t="shared" si="30"/>
        <v>7154</v>
      </c>
      <c r="AA48">
        <f t="shared" si="31"/>
        <v>305</v>
      </c>
      <c r="AB48">
        <f t="shared" si="32"/>
        <v>478</v>
      </c>
      <c r="AC48">
        <f t="shared" si="33"/>
        <v>262</v>
      </c>
      <c r="AD48">
        <f t="shared" si="34"/>
        <v>740</v>
      </c>
      <c r="AE48" s="39">
        <f t="shared" si="35"/>
        <v>2.4262295081967213</v>
      </c>
      <c r="AF48" s="39"/>
      <c r="AG48" s="39"/>
      <c r="AH48" s="39"/>
      <c r="AI48" s="39"/>
      <c r="AJ48" s="39"/>
      <c r="AK48" s="1">
        <v>42156</v>
      </c>
      <c r="AL48" s="3">
        <f t="shared" si="28"/>
        <v>553</v>
      </c>
      <c r="AM48" s="3">
        <f t="shared" si="29"/>
        <v>211</v>
      </c>
      <c r="AN48" s="3">
        <f t="shared" si="36"/>
        <v>764</v>
      </c>
      <c r="AO48" s="34">
        <f t="shared" si="37"/>
        <v>0.36173767752715119</v>
      </c>
      <c r="AQ48" s="1">
        <f t="shared" si="38"/>
        <v>42156</v>
      </c>
      <c r="AR48" s="53">
        <f t="shared" si="39"/>
        <v>136</v>
      </c>
    </row>
    <row r="49" spans="1:67">
      <c r="A49" s="1">
        <v>42186</v>
      </c>
      <c r="B49" s="3">
        <v>28</v>
      </c>
      <c r="C49">
        <v>15224</v>
      </c>
      <c r="D49">
        <v>10403</v>
      </c>
      <c r="G49">
        <f t="shared" si="21"/>
        <v>15546</v>
      </c>
      <c r="H49">
        <f t="shared" si="22"/>
        <v>316193</v>
      </c>
      <c r="I49">
        <f t="shared" si="23"/>
        <v>300647</v>
      </c>
      <c r="J49" s="1">
        <v>42186</v>
      </c>
      <c r="K49" s="3">
        <v>830</v>
      </c>
      <c r="L49" s="3">
        <v>361</v>
      </c>
      <c r="M49" s="3">
        <f t="shared" si="3"/>
        <v>1191</v>
      </c>
      <c r="N49" s="3">
        <f t="shared" si="24"/>
        <v>1152.3333333333333</v>
      </c>
      <c r="O49" s="3">
        <f t="shared" si="15"/>
        <v>1169.2222222222224</v>
      </c>
      <c r="P49">
        <f t="shared" si="25"/>
        <v>39970</v>
      </c>
      <c r="Q49" s="4">
        <f t="shared" si="26"/>
        <v>7.5218163622717036</v>
      </c>
      <c r="R49" s="17">
        <f t="shared" si="27"/>
        <v>14002</v>
      </c>
      <c r="S49" s="6" t="s">
        <v>19</v>
      </c>
      <c r="U49" s="33"/>
      <c r="V49" s="81">
        <v>155</v>
      </c>
      <c r="W49" s="5">
        <v>196</v>
      </c>
      <c r="X49" s="5">
        <v>88</v>
      </c>
      <c r="Y49" s="5">
        <f t="shared" si="40"/>
        <v>284</v>
      </c>
      <c r="Z49" s="83">
        <f t="shared" si="30"/>
        <v>7595</v>
      </c>
      <c r="AA49">
        <f t="shared" si="31"/>
        <v>460</v>
      </c>
      <c r="AB49">
        <f t="shared" si="32"/>
        <v>674</v>
      </c>
      <c r="AC49">
        <f t="shared" si="33"/>
        <v>350</v>
      </c>
      <c r="AD49">
        <f t="shared" si="34"/>
        <v>1024</v>
      </c>
      <c r="AE49" s="39">
        <f t="shared" si="35"/>
        <v>2.2260869565217392</v>
      </c>
      <c r="AF49" s="39"/>
      <c r="AG49" s="39"/>
      <c r="AH49" s="39"/>
      <c r="AI49" s="39"/>
      <c r="AJ49" s="39"/>
      <c r="AK49" s="1">
        <v>42186</v>
      </c>
      <c r="AL49" s="3">
        <f t="shared" si="28"/>
        <v>634</v>
      </c>
      <c r="AM49" s="3">
        <f t="shared" si="29"/>
        <v>273</v>
      </c>
      <c r="AN49" s="3">
        <f t="shared" si="36"/>
        <v>907</v>
      </c>
      <c r="AO49" s="34">
        <f t="shared" si="37"/>
        <v>0.23845507976490343</v>
      </c>
      <c r="AQ49" s="1">
        <f t="shared" si="38"/>
        <v>42186</v>
      </c>
      <c r="AR49" s="53">
        <f t="shared" si="39"/>
        <v>-111</v>
      </c>
    </row>
    <row r="50" spans="1:67">
      <c r="A50" s="1">
        <v>42217</v>
      </c>
      <c r="B50" s="3">
        <v>28</v>
      </c>
      <c r="C50">
        <v>5226</v>
      </c>
      <c r="D50">
        <v>8201</v>
      </c>
      <c r="G50">
        <f t="shared" si="21"/>
        <v>12571</v>
      </c>
      <c r="H50">
        <f t="shared" si="22"/>
        <v>321419</v>
      </c>
      <c r="I50">
        <f t="shared" si="23"/>
        <v>308848</v>
      </c>
      <c r="J50" s="1">
        <v>42217</v>
      </c>
      <c r="K50" s="3">
        <v>709</v>
      </c>
      <c r="L50" s="3">
        <v>319</v>
      </c>
      <c r="M50" s="3">
        <f t="shared" ref="M50:M61" si="41">SUM(K50:L50)</f>
        <v>1028</v>
      </c>
      <c r="N50" s="3">
        <f t="shared" si="24"/>
        <v>1138.6666666666667</v>
      </c>
      <c r="O50" s="3">
        <f t="shared" si="15"/>
        <v>1158.3611111111111</v>
      </c>
      <c r="P50">
        <f t="shared" si="25"/>
        <v>40998</v>
      </c>
      <c r="Q50" s="4">
        <f t="shared" si="26"/>
        <v>7.5332455241719112</v>
      </c>
      <c r="R50" s="17">
        <f t="shared" si="27"/>
        <v>13586</v>
      </c>
      <c r="S50" s="6" t="s">
        <v>19</v>
      </c>
      <c r="U50" s="33"/>
      <c r="V50" s="81">
        <v>149</v>
      </c>
      <c r="W50" s="5">
        <v>202</v>
      </c>
      <c r="X50" s="5">
        <v>90</v>
      </c>
      <c r="Y50" s="5">
        <f t="shared" si="40"/>
        <v>292</v>
      </c>
      <c r="Z50" s="83">
        <f t="shared" si="30"/>
        <v>7301</v>
      </c>
      <c r="AA50">
        <f t="shared" si="31"/>
        <v>609</v>
      </c>
      <c r="AB50">
        <f t="shared" si="32"/>
        <v>876</v>
      </c>
      <c r="AC50">
        <f t="shared" si="33"/>
        <v>440</v>
      </c>
      <c r="AD50">
        <f t="shared" si="34"/>
        <v>1316</v>
      </c>
      <c r="AE50" s="39">
        <f t="shared" si="35"/>
        <v>2.1609195402298851</v>
      </c>
      <c r="AF50" s="39"/>
      <c r="AG50" s="39"/>
      <c r="AH50" s="39"/>
      <c r="AI50" s="39"/>
      <c r="AJ50" s="39"/>
      <c r="AK50" s="1">
        <v>42217</v>
      </c>
      <c r="AL50" s="3">
        <f t="shared" si="28"/>
        <v>507</v>
      </c>
      <c r="AM50" s="3">
        <f t="shared" si="29"/>
        <v>229</v>
      </c>
      <c r="AN50" s="3">
        <f t="shared" si="36"/>
        <v>736</v>
      </c>
      <c r="AO50" s="34">
        <f t="shared" si="37"/>
        <v>0.28404669260700388</v>
      </c>
      <c r="AQ50" s="1">
        <f t="shared" si="38"/>
        <v>42217</v>
      </c>
      <c r="AR50" s="53">
        <f t="shared" si="39"/>
        <v>-416</v>
      </c>
    </row>
    <row r="51" spans="1:67">
      <c r="A51" s="1">
        <v>42248</v>
      </c>
      <c r="B51" s="3">
        <v>28</v>
      </c>
      <c r="C51">
        <v>6553</v>
      </c>
      <c r="D51">
        <f>12580+147</f>
        <v>12727</v>
      </c>
      <c r="G51">
        <f t="shared" si="21"/>
        <v>6397</v>
      </c>
      <c r="H51">
        <f t="shared" si="22"/>
        <v>327972</v>
      </c>
      <c r="I51">
        <f t="shared" si="23"/>
        <v>321575</v>
      </c>
      <c r="J51" s="1">
        <v>42248</v>
      </c>
      <c r="K51" s="3">
        <v>869</v>
      </c>
      <c r="L51" s="3">
        <v>450</v>
      </c>
      <c r="M51" s="3">
        <f t="shared" si="41"/>
        <v>1319</v>
      </c>
      <c r="N51" s="3">
        <f t="shared" si="24"/>
        <v>1179.3333333333333</v>
      </c>
      <c r="O51" s="3">
        <f t="shared" si="15"/>
        <v>1143.0277777777778</v>
      </c>
      <c r="P51">
        <f t="shared" si="25"/>
        <v>42317</v>
      </c>
      <c r="Q51" s="4">
        <f t="shared" si="26"/>
        <v>7.5991918141645201</v>
      </c>
      <c r="R51" s="17">
        <f t="shared" si="27"/>
        <v>13561</v>
      </c>
      <c r="S51" s="6" t="s">
        <v>19</v>
      </c>
      <c r="U51" s="33"/>
      <c r="V51" s="81">
        <v>242</v>
      </c>
      <c r="W51" s="81">
        <v>375</v>
      </c>
      <c r="X51" s="81">
        <v>237</v>
      </c>
      <c r="Y51" s="5">
        <f t="shared" si="40"/>
        <v>612</v>
      </c>
      <c r="Z51" s="83">
        <f t="shared" si="30"/>
        <v>11858</v>
      </c>
      <c r="AA51">
        <f t="shared" si="31"/>
        <v>851</v>
      </c>
      <c r="AB51">
        <f t="shared" si="32"/>
        <v>1251</v>
      </c>
      <c r="AC51">
        <f t="shared" si="33"/>
        <v>677</v>
      </c>
      <c r="AD51">
        <f t="shared" si="34"/>
        <v>1928</v>
      </c>
      <c r="AE51" s="39">
        <f t="shared" si="35"/>
        <v>2.2655699177438309</v>
      </c>
      <c r="AF51" s="39"/>
      <c r="AG51" s="39"/>
      <c r="AH51" s="39"/>
      <c r="AI51" s="39"/>
      <c r="AJ51" s="39"/>
      <c r="AK51" s="1">
        <v>42248</v>
      </c>
      <c r="AL51" s="3">
        <f t="shared" si="28"/>
        <v>494</v>
      </c>
      <c r="AM51" s="3">
        <f t="shared" si="29"/>
        <v>213</v>
      </c>
      <c r="AN51" s="3">
        <f t="shared" si="36"/>
        <v>707</v>
      </c>
      <c r="AO51" s="34">
        <f t="shared" si="37"/>
        <v>0.46398786959818045</v>
      </c>
      <c r="AQ51" s="1">
        <f t="shared" si="38"/>
        <v>42248</v>
      </c>
      <c r="AR51" s="53">
        <f t="shared" si="39"/>
        <v>-25</v>
      </c>
    </row>
    <row r="52" spans="1:67">
      <c r="A52" s="1">
        <v>42278</v>
      </c>
      <c r="B52" s="3">
        <v>28</v>
      </c>
      <c r="C52">
        <v>15414</v>
      </c>
      <c r="D52">
        <f>11500+408</f>
        <v>11908</v>
      </c>
      <c r="G52">
        <f t="shared" ref="G52:G57" si="42">G51+C52-D52</f>
        <v>9903</v>
      </c>
      <c r="H52">
        <f t="shared" ref="H52:I55" si="43">H51+C52</f>
        <v>343386</v>
      </c>
      <c r="I52">
        <f t="shared" si="43"/>
        <v>333483</v>
      </c>
      <c r="J52" s="1">
        <v>42278</v>
      </c>
      <c r="K52" s="3">
        <v>799</v>
      </c>
      <c r="L52" s="3">
        <v>424</v>
      </c>
      <c r="M52" s="3">
        <f t="shared" si="41"/>
        <v>1223</v>
      </c>
      <c r="N52" s="3">
        <f t="shared" ref="N52:N57" si="44">(M52+M51+M50)/3</f>
        <v>1190</v>
      </c>
      <c r="O52" s="3">
        <f t="shared" si="15"/>
        <v>1130.7777777777778</v>
      </c>
      <c r="P52">
        <f t="shared" ref="P52:P57" si="45">P51+M52</f>
        <v>43540</v>
      </c>
      <c r="Q52" s="4">
        <f t="shared" ref="Q52:Q57" si="46">I52/P52</f>
        <v>7.6592328892971979</v>
      </c>
      <c r="R52" s="17">
        <f t="shared" ref="R52:R61" si="47">SUM(M41:M52)</f>
        <v>13561</v>
      </c>
      <c r="S52" s="25" t="s">
        <v>44</v>
      </c>
      <c r="U52" s="33"/>
      <c r="V52" s="81">
        <v>246</v>
      </c>
      <c r="W52" s="81">
        <v>368</v>
      </c>
      <c r="X52" s="81">
        <v>264</v>
      </c>
      <c r="Y52" s="5">
        <f t="shared" si="40"/>
        <v>632</v>
      </c>
      <c r="Z52" s="83">
        <f t="shared" si="30"/>
        <v>12054</v>
      </c>
      <c r="AA52">
        <f t="shared" si="31"/>
        <v>1097</v>
      </c>
      <c r="AB52">
        <f t="shared" si="32"/>
        <v>1619</v>
      </c>
      <c r="AC52">
        <f t="shared" si="33"/>
        <v>941</v>
      </c>
      <c r="AD52">
        <f t="shared" si="34"/>
        <v>2560</v>
      </c>
      <c r="AE52" s="39">
        <f t="shared" si="35"/>
        <v>2.3336371923427528</v>
      </c>
      <c r="AF52" s="39"/>
      <c r="AG52" s="39"/>
      <c r="AH52" s="39"/>
      <c r="AI52" s="39"/>
      <c r="AJ52" s="39"/>
      <c r="AK52" s="1">
        <v>42278</v>
      </c>
      <c r="AL52" s="3">
        <f t="shared" si="28"/>
        <v>431</v>
      </c>
      <c r="AM52" s="3">
        <f t="shared" si="29"/>
        <v>160</v>
      </c>
      <c r="AN52" s="3">
        <f t="shared" si="36"/>
        <v>591</v>
      </c>
      <c r="AO52" s="34">
        <f t="shared" si="37"/>
        <v>0.51676206050695017</v>
      </c>
      <c r="AQ52" s="1">
        <f t="shared" si="38"/>
        <v>42278</v>
      </c>
      <c r="AR52" s="53">
        <f t="shared" si="39"/>
        <v>0</v>
      </c>
    </row>
    <row r="53" spans="1:67">
      <c r="A53" s="1">
        <v>42309</v>
      </c>
      <c r="B53" s="3">
        <v>28</v>
      </c>
      <c r="C53" s="29">
        <v>6902</v>
      </c>
      <c r="D53" s="29">
        <f>8552+169</f>
        <v>8721</v>
      </c>
      <c r="G53">
        <f t="shared" si="42"/>
        <v>8084</v>
      </c>
      <c r="H53">
        <f t="shared" si="43"/>
        <v>350288</v>
      </c>
      <c r="I53">
        <f t="shared" si="43"/>
        <v>342204</v>
      </c>
      <c r="J53" s="1">
        <v>42309</v>
      </c>
      <c r="K53" s="3">
        <v>918</v>
      </c>
      <c r="L53" s="3">
        <v>485</v>
      </c>
      <c r="M53" s="3">
        <f t="shared" si="41"/>
        <v>1403</v>
      </c>
      <c r="N53" s="3">
        <f t="shared" si="44"/>
        <v>1315</v>
      </c>
      <c r="O53" s="3">
        <f t="shared" si="15"/>
        <v>1137.0555555555557</v>
      </c>
      <c r="P53">
        <f t="shared" si="45"/>
        <v>44943</v>
      </c>
      <c r="Q53" s="4">
        <f t="shared" si="46"/>
        <v>7.6141779587477467</v>
      </c>
      <c r="R53" s="17">
        <f t="shared" si="47"/>
        <v>13812</v>
      </c>
      <c r="S53" s="6" t="s">
        <v>19</v>
      </c>
      <c r="U53" s="33"/>
      <c r="V53" s="81">
        <v>279</v>
      </c>
      <c r="W53" s="81">
        <v>396</v>
      </c>
      <c r="X53" s="81">
        <v>259</v>
      </c>
      <c r="Y53" s="5">
        <f t="shared" si="40"/>
        <v>655</v>
      </c>
      <c r="Z53" s="83">
        <f t="shared" si="30"/>
        <v>13671</v>
      </c>
      <c r="AA53">
        <f t="shared" ref="AA53:AA64" si="48">AA52+V53</f>
        <v>1376</v>
      </c>
      <c r="AB53">
        <f t="shared" ref="AB53:AB64" si="49">AB52+W53</f>
        <v>2015</v>
      </c>
      <c r="AC53">
        <f t="shared" ref="AC53:AC64" si="50">AC52+X53</f>
        <v>1200</v>
      </c>
      <c r="AD53">
        <f t="shared" ref="AD53:AD64" si="51">AD52+Y53</f>
        <v>3215</v>
      </c>
      <c r="AE53" s="39">
        <f t="shared" si="35"/>
        <v>2.3364825581395348</v>
      </c>
      <c r="AF53" s="39"/>
      <c r="AG53" s="39"/>
      <c r="AH53" s="39"/>
      <c r="AI53" s="39"/>
      <c r="AK53" s="1">
        <v>42309</v>
      </c>
      <c r="AL53" s="3">
        <f t="shared" si="28"/>
        <v>522</v>
      </c>
      <c r="AM53" s="3">
        <f t="shared" si="29"/>
        <v>226</v>
      </c>
      <c r="AN53" s="3">
        <f t="shared" si="36"/>
        <v>748</v>
      </c>
      <c r="AO53" s="34">
        <f t="shared" si="37"/>
        <v>0.46685673556664292</v>
      </c>
      <c r="AQ53" s="1">
        <f t="shared" si="38"/>
        <v>42309</v>
      </c>
      <c r="AR53" s="53">
        <f t="shared" si="39"/>
        <v>251</v>
      </c>
    </row>
    <row r="54" spans="1:67">
      <c r="A54" s="1">
        <v>42339</v>
      </c>
      <c r="B54" s="3">
        <v>28</v>
      </c>
      <c r="C54">
        <f>20798+29</f>
        <v>20827</v>
      </c>
      <c r="D54">
        <v>14898</v>
      </c>
      <c r="E54">
        <f>SUM(C43:C54)</f>
        <v>115402</v>
      </c>
      <c r="F54">
        <f>SUM(D43:D54)</f>
        <v>121848</v>
      </c>
      <c r="G54">
        <f t="shared" si="42"/>
        <v>14013</v>
      </c>
      <c r="H54">
        <f t="shared" si="43"/>
        <v>371115</v>
      </c>
      <c r="I54">
        <f t="shared" si="43"/>
        <v>357102</v>
      </c>
      <c r="J54" s="1">
        <v>42339</v>
      </c>
      <c r="K54" s="3">
        <v>1219</v>
      </c>
      <c r="L54" s="3">
        <v>892</v>
      </c>
      <c r="M54" s="18">
        <f t="shared" si="41"/>
        <v>2111</v>
      </c>
      <c r="N54" s="3">
        <f t="shared" si="44"/>
        <v>1579</v>
      </c>
      <c r="O54" s="3">
        <f t="shared" si="15"/>
        <v>1157.5555555555557</v>
      </c>
      <c r="P54">
        <f t="shared" si="45"/>
        <v>47054</v>
      </c>
      <c r="Q54" s="4">
        <f t="shared" si="46"/>
        <v>7.589195392527734</v>
      </c>
      <c r="R54" s="22">
        <f t="shared" si="47"/>
        <v>14299</v>
      </c>
      <c r="S54" s="23">
        <v>2015</v>
      </c>
      <c r="T54" s="46" t="s">
        <v>45</v>
      </c>
      <c r="U54" s="33"/>
      <c r="V54" s="81">
        <v>389</v>
      </c>
      <c r="W54" s="81">
        <v>565</v>
      </c>
      <c r="X54" s="81">
        <v>417</v>
      </c>
      <c r="Y54" s="5">
        <f t="shared" si="40"/>
        <v>982</v>
      </c>
      <c r="Z54" s="83">
        <f t="shared" si="30"/>
        <v>19061</v>
      </c>
      <c r="AA54">
        <f t="shared" si="48"/>
        <v>1765</v>
      </c>
      <c r="AB54">
        <f t="shared" si="49"/>
        <v>2580</v>
      </c>
      <c r="AC54">
        <f t="shared" si="50"/>
        <v>1617</v>
      </c>
      <c r="AD54">
        <f t="shared" si="51"/>
        <v>4197</v>
      </c>
      <c r="AE54" s="39">
        <f t="shared" si="35"/>
        <v>2.3779036827195466</v>
      </c>
      <c r="AF54" s="42" t="s">
        <v>8</v>
      </c>
      <c r="AG54" s="42" t="s">
        <v>9</v>
      </c>
      <c r="AH54" s="42" t="s">
        <v>10</v>
      </c>
      <c r="AI54" s="42" t="s">
        <v>11</v>
      </c>
      <c r="AJ54" s="42" t="s">
        <v>12</v>
      </c>
      <c r="AK54" s="1">
        <v>42339</v>
      </c>
      <c r="AL54" s="3">
        <f t="shared" si="28"/>
        <v>654</v>
      </c>
      <c r="AM54" s="3">
        <f t="shared" si="29"/>
        <v>475</v>
      </c>
      <c r="AN54" s="3">
        <f t="shared" si="36"/>
        <v>1129</v>
      </c>
      <c r="AO54" s="34">
        <f t="shared" si="37"/>
        <v>0.46518237801989576</v>
      </c>
      <c r="AQ54" s="1">
        <f t="shared" si="38"/>
        <v>42339</v>
      </c>
      <c r="AR54" s="53">
        <f t="shared" si="39"/>
        <v>487</v>
      </c>
    </row>
    <row r="55" spans="1:67">
      <c r="A55" s="1">
        <v>42370</v>
      </c>
      <c r="B55" s="3">
        <v>28</v>
      </c>
      <c r="C55">
        <v>4930</v>
      </c>
      <c r="D55">
        <v>8758</v>
      </c>
      <c r="G55">
        <f t="shared" si="42"/>
        <v>10185</v>
      </c>
      <c r="H55">
        <f t="shared" si="43"/>
        <v>376045</v>
      </c>
      <c r="I55">
        <f t="shared" si="43"/>
        <v>365860</v>
      </c>
      <c r="J55" s="1">
        <v>42370</v>
      </c>
      <c r="K55" s="3">
        <v>1086</v>
      </c>
      <c r="L55" s="3">
        <v>646</v>
      </c>
      <c r="M55" s="3">
        <f t="shared" si="41"/>
        <v>1732</v>
      </c>
      <c r="N55" s="3">
        <f t="shared" si="44"/>
        <v>1748.6666666666667</v>
      </c>
      <c r="O55" s="3">
        <f t="shared" si="15"/>
        <v>1198.3055555555554</v>
      </c>
      <c r="P55">
        <f t="shared" si="45"/>
        <v>48786</v>
      </c>
      <c r="Q55" s="4">
        <f t="shared" si="46"/>
        <v>7.4992825810683392</v>
      </c>
      <c r="R55" s="17">
        <f t="shared" si="47"/>
        <v>15028</v>
      </c>
      <c r="S55" s="6" t="s">
        <v>19</v>
      </c>
      <c r="U55" s="33"/>
      <c r="V55" s="81">
        <v>433</v>
      </c>
      <c r="W55" s="81">
        <v>642</v>
      </c>
      <c r="X55" s="81">
        <v>432</v>
      </c>
      <c r="Y55" s="5">
        <f t="shared" si="40"/>
        <v>1074</v>
      </c>
      <c r="Z55" s="83">
        <f t="shared" si="30"/>
        <v>21217</v>
      </c>
      <c r="AA55" s="38">
        <f t="shared" si="48"/>
        <v>2198</v>
      </c>
      <c r="AB55">
        <f t="shared" si="49"/>
        <v>3222</v>
      </c>
      <c r="AC55">
        <f t="shared" si="50"/>
        <v>2049</v>
      </c>
      <c r="AD55">
        <f t="shared" si="51"/>
        <v>5271</v>
      </c>
      <c r="AE55" s="39">
        <f t="shared" si="35"/>
        <v>2.3980891719745223</v>
      </c>
      <c r="AF55" s="42" t="s">
        <v>19</v>
      </c>
      <c r="AG55" s="42" t="s">
        <v>19</v>
      </c>
      <c r="AH55" s="42" t="s">
        <v>19</v>
      </c>
      <c r="AI55" s="42" t="s">
        <v>19</v>
      </c>
      <c r="AJ55" s="32" t="s">
        <v>30</v>
      </c>
      <c r="AK55" s="1">
        <v>42370</v>
      </c>
      <c r="AL55" s="3">
        <f t="shared" si="28"/>
        <v>444</v>
      </c>
      <c r="AM55" s="3">
        <f t="shared" si="29"/>
        <v>214</v>
      </c>
      <c r="AN55" s="3">
        <f t="shared" si="36"/>
        <v>658</v>
      </c>
      <c r="AO55" s="34">
        <f t="shared" si="37"/>
        <v>0.62009237875288681</v>
      </c>
      <c r="AQ55" s="1">
        <f t="shared" si="38"/>
        <v>42370</v>
      </c>
      <c r="AR55" s="53">
        <f t="shared" si="39"/>
        <v>729</v>
      </c>
      <c r="BN55">
        <v>2011</v>
      </c>
      <c r="BO55" s="3">
        <f>R6</f>
        <v>313</v>
      </c>
    </row>
    <row r="56" spans="1:67">
      <c r="A56" s="1">
        <v>42401</v>
      </c>
      <c r="B56" s="3">
        <v>27</v>
      </c>
      <c r="C56">
        <v>4872</v>
      </c>
      <c r="D56">
        <v>10144</v>
      </c>
      <c r="G56">
        <f t="shared" si="42"/>
        <v>4913</v>
      </c>
      <c r="H56">
        <f t="shared" ref="H56:I61" si="52">H55+C56</f>
        <v>380917</v>
      </c>
      <c r="I56">
        <f t="shared" si="52"/>
        <v>376004</v>
      </c>
      <c r="J56" s="1">
        <v>42401</v>
      </c>
      <c r="K56" s="3">
        <v>992</v>
      </c>
      <c r="L56" s="3">
        <v>543</v>
      </c>
      <c r="M56" s="3">
        <f t="shared" si="41"/>
        <v>1535</v>
      </c>
      <c r="N56" s="3">
        <f t="shared" si="44"/>
        <v>1792.6666666666667</v>
      </c>
      <c r="O56" s="3">
        <f t="shared" si="15"/>
        <v>1247.7222222222219</v>
      </c>
      <c r="P56">
        <f t="shared" si="45"/>
        <v>50321</v>
      </c>
      <c r="Q56" s="4">
        <f t="shared" si="46"/>
        <v>7.4721090598358542</v>
      </c>
      <c r="R56" s="17">
        <f t="shared" si="47"/>
        <v>15591</v>
      </c>
      <c r="S56" s="6" t="s">
        <v>19</v>
      </c>
      <c r="U56" s="33"/>
      <c r="V56" s="81">
        <v>391</v>
      </c>
      <c r="W56" s="81">
        <v>549</v>
      </c>
      <c r="X56" s="81">
        <v>325</v>
      </c>
      <c r="Y56" s="5">
        <f t="shared" si="40"/>
        <v>874</v>
      </c>
      <c r="Z56" s="83">
        <f t="shared" si="30"/>
        <v>19159</v>
      </c>
      <c r="AA56" s="38">
        <f t="shared" si="48"/>
        <v>2589</v>
      </c>
      <c r="AB56">
        <f t="shared" si="49"/>
        <v>3771</v>
      </c>
      <c r="AC56">
        <f t="shared" si="50"/>
        <v>2374</v>
      </c>
      <c r="AD56">
        <f t="shared" si="51"/>
        <v>6145</v>
      </c>
      <c r="AE56" s="39">
        <f t="shared" si="35"/>
        <v>2.373503283120896</v>
      </c>
      <c r="AF56" s="39"/>
      <c r="AG56" s="39"/>
      <c r="AH56" s="39"/>
      <c r="AI56" s="39"/>
      <c r="AJ56" s="39"/>
      <c r="AK56" s="1">
        <v>42401</v>
      </c>
      <c r="AL56" s="3">
        <f t="shared" si="28"/>
        <v>443</v>
      </c>
      <c r="AM56" s="3">
        <f t="shared" si="29"/>
        <v>218</v>
      </c>
      <c r="AN56" s="3">
        <f t="shared" si="36"/>
        <v>661</v>
      </c>
      <c r="AO56" s="34">
        <f t="shared" si="37"/>
        <v>0.56938110749185666</v>
      </c>
      <c r="AQ56" s="1">
        <f t="shared" si="38"/>
        <v>42401</v>
      </c>
      <c r="AR56" s="53">
        <f t="shared" si="39"/>
        <v>563</v>
      </c>
      <c r="BN56">
        <v>2012</v>
      </c>
      <c r="BO56" s="3">
        <f>R18</f>
        <v>4675</v>
      </c>
    </row>
    <row r="57" spans="1:67">
      <c r="A57" s="1">
        <v>42430</v>
      </c>
      <c r="B57" s="3">
        <v>27</v>
      </c>
      <c r="C57">
        <v>10173</v>
      </c>
      <c r="D57">
        <v>10612</v>
      </c>
      <c r="E57">
        <f>SUM(C46:C57)</f>
        <v>110269</v>
      </c>
      <c r="F57">
        <f>SUM(D46:D57)</f>
        <v>122843</v>
      </c>
      <c r="G57">
        <f t="shared" si="42"/>
        <v>4474</v>
      </c>
      <c r="H57">
        <f t="shared" si="52"/>
        <v>391090</v>
      </c>
      <c r="I57">
        <f t="shared" si="52"/>
        <v>386616</v>
      </c>
      <c r="J57" s="1">
        <v>42430</v>
      </c>
      <c r="K57" s="3">
        <v>1014</v>
      </c>
      <c r="L57" s="3">
        <v>611</v>
      </c>
      <c r="M57" s="3">
        <f t="shared" si="41"/>
        <v>1625</v>
      </c>
      <c r="N57" s="3">
        <f t="shared" si="44"/>
        <v>1630.6666666666667</v>
      </c>
      <c r="O57" s="3">
        <f t="shared" si="15"/>
        <v>1299.2499999999998</v>
      </c>
      <c r="P57">
        <f t="shared" si="45"/>
        <v>51946</v>
      </c>
      <c r="Q57" s="4">
        <f t="shared" si="46"/>
        <v>7.4426519847533976</v>
      </c>
      <c r="R57" s="35">
        <f t="shared" si="47"/>
        <v>16154</v>
      </c>
      <c r="S57" s="21" t="s">
        <v>46</v>
      </c>
      <c r="V57" s="81">
        <v>346</v>
      </c>
      <c r="W57" s="81">
        <v>494</v>
      </c>
      <c r="X57" s="81">
        <v>318</v>
      </c>
      <c r="Y57" s="5">
        <f t="shared" si="40"/>
        <v>812</v>
      </c>
      <c r="Z57" s="83">
        <f t="shared" si="30"/>
        <v>16954</v>
      </c>
      <c r="AA57" s="38">
        <f t="shared" si="48"/>
        <v>2935</v>
      </c>
      <c r="AB57">
        <f t="shared" si="49"/>
        <v>4265</v>
      </c>
      <c r="AC57">
        <f t="shared" si="50"/>
        <v>2692</v>
      </c>
      <c r="AD57">
        <f t="shared" si="51"/>
        <v>6957</v>
      </c>
      <c r="AE57" s="39">
        <f t="shared" si="35"/>
        <v>2.370357751277683</v>
      </c>
      <c r="AF57" s="3">
        <f>SUM(V46:V57)</f>
        <v>2935</v>
      </c>
      <c r="AG57" s="3">
        <f>SUM(W46:W57)</f>
        <v>4265</v>
      </c>
      <c r="AH57" s="3">
        <f>SUM(X46:X57)</f>
        <v>2692</v>
      </c>
      <c r="AI57" s="3">
        <f>SUM(Y46:Y57)</f>
        <v>6957</v>
      </c>
      <c r="AJ57" s="3">
        <f>SUM(Z46:Z57)</f>
        <v>143815</v>
      </c>
      <c r="AK57" s="1">
        <v>42430</v>
      </c>
      <c r="AL57" s="3">
        <f t="shared" si="28"/>
        <v>520</v>
      </c>
      <c r="AM57" s="3">
        <f t="shared" si="29"/>
        <v>293</v>
      </c>
      <c r="AN57" s="3">
        <f t="shared" si="36"/>
        <v>813</v>
      </c>
      <c r="AO57" s="34">
        <f t="shared" si="37"/>
        <v>0.49969230769230771</v>
      </c>
      <c r="AQ57" s="1">
        <f t="shared" si="38"/>
        <v>42430</v>
      </c>
      <c r="AR57" s="53">
        <f t="shared" si="39"/>
        <v>563</v>
      </c>
      <c r="BN57">
        <v>2013</v>
      </c>
      <c r="BO57" s="3">
        <f>R30</f>
        <v>11959</v>
      </c>
    </row>
    <row r="58" spans="1:67">
      <c r="A58" s="1">
        <v>42461</v>
      </c>
      <c r="B58" s="3">
        <v>27</v>
      </c>
      <c r="C58">
        <f>6642+16</f>
        <v>6658</v>
      </c>
      <c r="D58">
        <v>7266</v>
      </c>
      <c r="G58">
        <f t="shared" ref="G58:G64" si="53">G57+C58-D58</f>
        <v>3866</v>
      </c>
      <c r="H58">
        <f t="shared" si="52"/>
        <v>397748</v>
      </c>
      <c r="I58">
        <f t="shared" si="52"/>
        <v>393882</v>
      </c>
      <c r="J58" s="1">
        <v>42461</v>
      </c>
      <c r="K58" s="3">
        <v>654</v>
      </c>
      <c r="L58" s="3">
        <v>310</v>
      </c>
      <c r="M58" s="3">
        <f t="shared" si="41"/>
        <v>964</v>
      </c>
      <c r="N58" s="3">
        <f t="shared" ref="N58:N64" si="54">(M58+M57+M56)/3</f>
        <v>1374.6666666666667</v>
      </c>
      <c r="O58" s="3">
        <f t="shared" si="15"/>
        <v>1337.2777777777776</v>
      </c>
      <c r="P58">
        <f t="shared" ref="P58:P64" si="55">P57+M58</f>
        <v>52910</v>
      </c>
      <c r="Q58" s="4">
        <f t="shared" ref="Q58:Q64" si="56">I58/P58</f>
        <v>7.444377244377244</v>
      </c>
      <c r="R58" s="17">
        <f t="shared" si="47"/>
        <v>16397</v>
      </c>
      <c r="S58" s="6" t="s">
        <v>19</v>
      </c>
      <c r="U58" s="33"/>
      <c r="V58" s="81">
        <v>229</v>
      </c>
      <c r="W58" s="81">
        <v>313</v>
      </c>
      <c r="X58" s="81">
        <v>188</v>
      </c>
      <c r="Y58" s="5">
        <f t="shared" si="40"/>
        <v>501</v>
      </c>
      <c r="Z58" s="83">
        <f t="shared" ref="Z58:Z63" si="57">V58*30</f>
        <v>6870</v>
      </c>
      <c r="AA58" s="38">
        <f t="shared" si="48"/>
        <v>3164</v>
      </c>
      <c r="AB58">
        <f t="shared" si="49"/>
        <v>4578</v>
      </c>
      <c r="AC58">
        <f t="shared" si="50"/>
        <v>2880</v>
      </c>
      <c r="AD58">
        <f t="shared" si="51"/>
        <v>7458</v>
      </c>
      <c r="AE58" s="39">
        <f t="shared" si="35"/>
        <v>2.3571428571428572</v>
      </c>
      <c r="AF58" s="3">
        <f t="shared" ref="AF58:AF64" si="58">SUM(V47:V58)</f>
        <v>3145</v>
      </c>
      <c r="AG58" s="3">
        <f t="shared" ref="AG58:AG64" si="59">SUM(W47:W58)</f>
        <v>4550</v>
      </c>
      <c r="AH58" s="3">
        <f t="shared" ref="AH58:AH64" si="60">SUM(X47:X58)</f>
        <v>2866</v>
      </c>
      <c r="AI58" s="3">
        <f t="shared" ref="AI58:AI64" si="61">SUM(Y47:Y58)</f>
        <v>7416</v>
      </c>
      <c r="AJ58" s="3">
        <f t="shared" ref="AJ58:AJ69" si="62">SUM(Z47:Z58)</f>
        <v>149754</v>
      </c>
      <c r="AK58" s="1">
        <v>42461</v>
      </c>
      <c r="AL58" s="3">
        <f t="shared" si="28"/>
        <v>341</v>
      </c>
      <c r="AM58" s="3">
        <f t="shared" ref="AM58:AM68" si="63">L58-X58</f>
        <v>122</v>
      </c>
      <c r="AN58" s="3">
        <f t="shared" si="36"/>
        <v>463</v>
      </c>
      <c r="AO58" s="34">
        <f t="shared" ref="AO58:AO72" si="64">Y58/(AN58+Y58)</f>
        <v>0.51970954356846477</v>
      </c>
      <c r="AQ58" s="1">
        <f t="shared" si="38"/>
        <v>42461</v>
      </c>
      <c r="AR58" s="53">
        <f t="shared" si="39"/>
        <v>243</v>
      </c>
      <c r="BN58">
        <v>2014</v>
      </c>
      <c r="BO58" s="3">
        <f>R42</f>
        <v>15808</v>
      </c>
    </row>
    <row r="59" spans="1:67">
      <c r="A59" s="1">
        <v>42491</v>
      </c>
      <c r="B59" s="3">
        <v>27</v>
      </c>
      <c r="C59">
        <v>5117</v>
      </c>
      <c r="D59">
        <v>6779</v>
      </c>
      <c r="G59">
        <f t="shared" si="53"/>
        <v>2204</v>
      </c>
      <c r="H59">
        <f t="shared" si="52"/>
        <v>402865</v>
      </c>
      <c r="I59">
        <f t="shared" si="52"/>
        <v>400661</v>
      </c>
      <c r="J59" s="1">
        <v>42491</v>
      </c>
      <c r="K59" s="3">
        <v>858</v>
      </c>
      <c r="L59" s="3">
        <v>384</v>
      </c>
      <c r="M59" s="3">
        <f t="shared" si="41"/>
        <v>1242</v>
      </c>
      <c r="N59" s="3">
        <f t="shared" si="54"/>
        <v>1277</v>
      </c>
      <c r="O59" s="3">
        <f t="shared" si="15"/>
        <v>1364.4722222222219</v>
      </c>
      <c r="P59">
        <f t="shared" si="55"/>
        <v>54152</v>
      </c>
      <c r="Q59" s="4">
        <f t="shared" si="56"/>
        <v>7.3988218348352781</v>
      </c>
      <c r="R59" s="17">
        <f t="shared" si="47"/>
        <v>16570</v>
      </c>
      <c r="S59" s="6" t="s">
        <v>19</v>
      </c>
      <c r="U59" s="33"/>
      <c r="V59" s="81">
        <v>198</v>
      </c>
      <c r="W59" s="81">
        <v>275</v>
      </c>
      <c r="X59" s="81">
        <v>178</v>
      </c>
      <c r="Y59" s="5">
        <f t="shared" si="40"/>
        <v>453</v>
      </c>
      <c r="Z59" s="83">
        <f t="shared" si="57"/>
        <v>5940</v>
      </c>
      <c r="AA59" s="38">
        <f t="shared" si="48"/>
        <v>3362</v>
      </c>
      <c r="AB59">
        <f t="shared" si="49"/>
        <v>4853</v>
      </c>
      <c r="AC59">
        <f t="shared" si="50"/>
        <v>3058</v>
      </c>
      <c r="AD59">
        <f t="shared" si="51"/>
        <v>7911</v>
      </c>
      <c r="AE59" s="39">
        <f t="shared" si="35"/>
        <v>2.3530636525877453</v>
      </c>
      <c r="AF59" s="3">
        <f t="shared" si="58"/>
        <v>3203</v>
      </c>
      <c r="AG59" s="3">
        <f t="shared" si="59"/>
        <v>4645</v>
      </c>
      <c r="AH59" s="3">
        <f t="shared" si="60"/>
        <v>2959</v>
      </c>
      <c r="AI59" s="3">
        <f t="shared" si="61"/>
        <v>7604</v>
      </c>
      <c r="AJ59" s="3">
        <f t="shared" si="62"/>
        <v>148834</v>
      </c>
      <c r="AK59" s="1">
        <v>42491</v>
      </c>
      <c r="AL59" s="3">
        <f t="shared" si="28"/>
        <v>583</v>
      </c>
      <c r="AM59" s="3">
        <f t="shared" si="63"/>
        <v>206</v>
      </c>
      <c r="AN59" s="3">
        <f t="shared" si="36"/>
        <v>789</v>
      </c>
      <c r="AO59" s="34">
        <f t="shared" si="64"/>
        <v>0.36473429951690822</v>
      </c>
      <c r="AQ59" s="1">
        <f t="shared" si="38"/>
        <v>42491</v>
      </c>
      <c r="AR59" s="53">
        <f t="shared" si="39"/>
        <v>173</v>
      </c>
      <c r="BN59">
        <v>2015</v>
      </c>
      <c r="BO59" s="3">
        <f>R54</f>
        <v>14299</v>
      </c>
    </row>
    <row r="60" spans="1:67">
      <c r="A60" s="1">
        <v>42522</v>
      </c>
      <c r="B60" s="3">
        <v>27</v>
      </c>
      <c r="C60">
        <v>11633</v>
      </c>
      <c r="D60">
        <v>6418</v>
      </c>
      <c r="G60">
        <f>G59+C60-D60</f>
        <v>7419</v>
      </c>
      <c r="H60">
        <f t="shared" si="52"/>
        <v>414498</v>
      </c>
      <c r="I60">
        <f t="shared" si="52"/>
        <v>407079</v>
      </c>
      <c r="J60" s="1">
        <v>42522</v>
      </c>
      <c r="K60" s="3">
        <v>800</v>
      </c>
      <c r="L60" s="3">
        <v>323</v>
      </c>
      <c r="M60" s="3">
        <f t="shared" si="41"/>
        <v>1123</v>
      </c>
      <c r="N60" s="3">
        <f t="shared" si="54"/>
        <v>1109.6666666666667</v>
      </c>
      <c r="O60" s="3">
        <f t="shared" si="15"/>
        <v>1373.9722222222219</v>
      </c>
      <c r="P60">
        <f t="shared" si="55"/>
        <v>55275</v>
      </c>
      <c r="Q60" s="4">
        <f t="shared" si="56"/>
        <v>7.3646132971506102</v>
      </c>
      <c r="R60" s="17">
        <f t="shared" si="47"/>
        <v>16496</v>
      </c>
      <c r="S60" s="6" t="s">
        <v>19</v>
      </c>
      <c r="U60" s="33"/>
      <c r="V60" s="81">
        <v>233</v>
      </c>
      <c r="W60" s="81">
        <v>324</v>
      </c>
      <c r="X60" s="81">
        <v>152</v>
      </c>
      <c r="Y60" s="5">
        <f t="shared" si="40"/>
        <v>476</v>
      </c>
      <c r="Z60" s="83">
        <f t="shared" si="57"/>
        <v>6990</v>
      </c>
      <c r="AA60" s="38">
        <f t="shared" si="48"/>
        <v>3595</v>
      </c>
      <c r="AB60">
        <f t="shared" si="49"/>
        <v>5177</v>
      </c>
      <c r="AC60">
        <f t="shared" si="50"/>
        <v>3210</v>
      </c>
      <c r="AD60">
        <f t="shared" si="51"/>
        <v>8387</v>
      </c>
      <c r="AE60" s="39">
        <f t="shared" si="35"/>
        <v>2.3329624478442281</v>
      </c>
      <c r="AF60" s="3">
        <f t="shared" si="58"/>
        <v>3290</v>
      </c>
      <c r="AG60" s="3">
        <f t="shared" si="59"/>
        <v>4699</v>
      </c>
      <c r="AH60" s="3">
        <f t="shared" si="60"/>
        <v>2948</v>
      </c>
      <c r="AI60" s="3">
        <f t="shared" si="61"/>
        <v>7647</v>
      </c>
      <c r="AJ60" s="3">
        <f t="shared" si="62"/>
        <v>148670</v>
      </c>
      <c r="AK60" s="1">
        <v>42522</v>
      </c>
      <c r="AL60" s="3">
        <f t="shared" si="28"/>
        <v>476</v>
      </c>
      <c r="AM60" s="3">
        <f t="shared" si="63"/>
        <v>171</v>
      </c>
      <c r="AN60" s="3">
        <f t="shared" si="36"/>
        <v>647</v>
      </c>
      <c r="AO60" s="34">
        <f t="shared" si="64"/>
        <v>0.42386464826357972</v>
      </c>
      <c r="AQ60" s="1">
        <f t="shared" si="38"/>
        <v>42522</v>
      </c>
      <c r="AR60" s="53">
        <f t="shared" si="39"/>
        <v>-74</v>
      </c>
      <c r="BN60">
        <v>2016</v>
      </c>
      <c r="BO60" s="3">
        <f>R66</f>
        <v>16530</v>
      </c>
    </row>
    <row r="61" spans="1:67">
      <c r="A61" s="1">
        <v>42552</v>
      </c>
      <c r="B61" s="3">
        <v>28</v>
      </c>
      <c r="C61">
        <v>16353</v>
      </c>
      <c r="D61">
        <v>8893</v>
      </c>
      <c r="G61">
        <f t="shared" si="53"/>
        <v>14879</v>
      </c>
      <c r="H61">
        <f t="shared" si="52"/>
        <v>430851</v>
      </c>
      <c r="I61">
        <f t="shared" si="52"/>
        <v>415972</v>
      </c>
      <c r="J61" s="1">
        <v>42552</v>
      </c>
      <c r="K61" s="3">
        <v>732</v>
      </c>
      <c r="L61" s="3">
        <v>366</v>
      </c>
      <c r="M61" s="3">
        <f t="shared" si="41"/>
        <v>1098</v>
      </c>
      <c r="N61" s="3">
        <f t="shared" si="54"/>
        <v>1154.3333333333333</v>
      </c>
      <c r="O61" s="3">
        <f t="shared" si="15"/>
        <v>1374.1388888888887</v>
      </c>
      <c r="P61">
        <f t="shared" si="55"/>
        <v>56373</v>
      </c>
      <c r="Q61" s="4">
        <f t="shared" si="56"/>
        <v>7.3789225338371205</v>
      </c>
      <c r="R61" s="17">
        <f t="shared" si="47"/>
        <v>16403</v>
      </c>
      <c r="S61" s="6" t="s">
        <v>19</v>
      </c>
      <c r="U61" s="33"/>
      <c r="V61" s="81">
        <v>171</v>
      </c>
      <c r="W61" s="81">
        <v>241</v>
      </c>
      <c r="X61" s="81">
        <v>154</v>
      </c>
      <c r="Y61" s="5">
        <f t="shared" si="40"/>
        <v>395</v>
      </c>
      <c r="Z61" s="83">
        <f t="shared" si="57"/>
        <v>5130</v>
      </c>
      <c r="AA61" s="38">
        <f t="shared" si="48"/>
        <v>3766</v>
      </c>
      <c r="AB61">
        <f t="shared" si="49"/>
        <v>5418</v>
      </c>
      <c r="AC61">
        <f t="shared" si="50"/>
        <v>3364</v>
      </c>
      <c r="AD61">
        <f t="shared" si="51"/>
        <v>8782</v>
      </c>
      <c r="AE61" s="39">
        <f t="shared" si="35"/>
        <v>2.3319171534784919</v>
      </c>
      <c r="AF61" s="3">
        <f t="shared" si="58"/>
        <v>3306</v>
      </c>
      <c r="AG61" s="3">
        <f t="shared" si="59"/>
        <v>4744</v>
      </c>
      <c r="AH61" s="3">
        <f t="shared" si="60"/>
        <v>3014</v>
      </c>
      <c r="AI61" s="3">
        <f t="shared" si="61"/>
        <v>7758</v>
      </c>
      <c r="AJ61" s="3">
        <f t="shared" si="62"/>
        <v>146205</v>
      </c>
      <c r="AK61" s="1">
        <v>42552</v>
      </c>
      <c r="AL61" s="3">
        <f t="shared" si="28"/>
        <v>491</v>
      </c>
      <c r="AM61" s="3">
        <f t="shared" si="63"/>
        <v>212</v>
      </c>
      <c r="AN61" s="3">
        <f t="shared" si="36"/>
        <v>703</v>
      </c>
      <c r="AO61" s="34">
        <f t="shared" si="64"/>
        <v>0.35974499089253187</v>
      </c>
      <c r="AQ61" s="1">
        <f t="shared" si="38"/>
        <v>42552</v>
      </c>
      <c r="AR61" s="53">
        <f t="shared" si="39"/>
        <v>-93</v>
      </c>
      <c r="BN61">
        <v>2017</v>
      </c>
      <c r="BO61" s="3">
        <f>R78</f>
        <v>17526</v>
      </c>
    </row>
    <row r="62" spans="1:67">
      <c r="A62" s="1">
        <v>42583</v>
      </c>
      <c r="B62" s="3">
        <v>28</v>
      </c>
      <c r="C62">
        <v>3588</v>
      </c>
      <c r="D62">
        <v>6379</v>
      </c>
      <c r="G62">
        <f t="shared" si="53"/>
        <v>12088</v>
      </c>
      <c r="H62">
        <f t="shared" ref="H62:I64" si="65">H61+C62</f>
        <v>434439</v>
      </c>
      <c r="I62">
        <f t="shared" si="65"/>
        <v>422351</v>
      </c>
      <c r="J62" s="1">
        <v>42583</v>
      </c>
      <c r="K62" s="3">
        <v>700</v>
      </c>
      <c r="L62" s="3">
        <v>404</v>
      </c>
      <c r="M62" s="3">
        <f>SUM(K62:L62)</f>
        <v>1104</v>
      </c>
      <c r="N62" s="3">
        <f t="shared" si="54"/>
        <v>1108.3333333333333</v>
      </c>
      <c r="O62" s="3">
        <f t="shared" si="15"/>
        <v>1371.6111111111111</v>
      </c>
      <c r="P62">
        <f t="shared" si="55"/>
        <v>57477</v>
      </c>
      <c r="Q62" s="4">
        <f t="shared" si="56"/>
        <v>7.3481740522295871</v>
      </c>
      <c r="R62" s="17">
        <f>SUM(M51:M62)</f>
        <v>16479</v>
      </c>
      <c r="S62" s="6" t="s">
        <v>19</v>
      </c>
      <c r="U62" s="33"/>
      <c r="V62" s="81">
        <v>179</v>
      </c>
      <c r="W62" s="81">
        <v>264</v>
      </c>
      <c r="X62" s="81">
        <v>161</v>
      </c>
      <c r="Y62" s="5">
        <f t="shared" si="40"/>
        <v>425</v>
      </c>
      <c r="Z62" s="83">
        <f t="shared" si="57"/>
        <v>5370</v>
      </c>
      <c r="AA62" s="38">
        <f t="shared" si="48"/>
        <v>3945</v>
      </c>
      <c r="AB62">
        <f t="shared" si="49"/>
        <v>5682</v>
      </c>
      <c r="AC62">
        <f t="shared" si="50"/>
        <v>3525</v>
      </c>
      <c r="AD62">
        <f t="shared" si="51"/>
        <v>9207</v>
      </c>
      <c r="AE62" s="39">
        <f t="shared" si="35"/>
        <v>2.3338403041825093</v>
      </c>
      <c r="AF62" s="3">
        <f t="shared" si="58"/>
        <v>3336</v>
      </c>
      <c r="AG62" s="3">
        <f t="shared" si="59"/>
        <v>4806</v>
      </c>
      <c r="AH62" s="3">
        <f t="shared" si="60"/>
        <v>3085</v>
      </c>
      <c r="AI62" s="3">
        <f t="shared" si="61"/>
        <v>7891</v>
      </c>
      <c r="AJ62" s="3">
        <f t="shared" si="62"/>
        <v>144274</v>
      </c>
      <c r="AK62" s="1">
        <v>42583</v>
      </c>
      <c r="AL62" s="3">
        <f t="shared" si="28"/>
        <v>436</v>
      </c>
      <c r="AM62" s="3">
        <f t="shared" si="63"/>
        <v>243</v>
      </c>
      <c r="AN62" s="3">
        <f t="shared" si="36"/>
        <v>679</v>
      </c>
      <c r="AO62" s="34">
        <f t="shared" si="64"/>
        <v>0.38496376811594202</v>
      </c>
      <c r="AQ62" s="1">
        <f t="shared" si="38"/>
        <v>42583</v>
      </c>
      <c r="AR62" s="53">
        <f t="shared" si="39"/>
        <v>76</v>
      </c>
      <c r="BN62">
        <v>2018</v>
      </c>
      <c r="BO62" s="3">
        <f>R90</f>
        <v>18676</v>
      </c>
    </row>
    <row r="63" spans="1:67">
      <c r="A63" s="1">
        <v>42614</v>
      </c>
      <c r="B63" s="3">
        <v>27</v>
      </c>
      <c r="C63">
        <v>7204</v>
      </c>
      <c r="D63">
        <v>8617</v>
      </c>
      <c r="G63">
        <f t="shared" si="53"/>
        <v>10675</v>
      </c>
      <c r="H63">
        <f t="shared" si="65"/>
        <v>441643</v>
      </c>
      <c r="I63">
        <f t="shared" si="65"/>
        <v>430968</v>
      </c>
      <c r="J63" s="1">
        <v>42614</v>
      </c>
      <c r="K63" s="3">
        <v>867</v>
      </c>
      <c r="L63" s="3">
        <v>468</v>
      </c>
      <c r="M63" s="3">
        <f>SUM(K63:L63)</f>
        <v>1335</v>
      </c>
      <c r="N63" s="3">
        <f t="shared" si="54"/>
        <v>1179</v>
      </c>
      <c r="O63" s="3">
        <f t="shared" si="15"/>
        <v>1371.5833333333333</v>
      </c>
      <c r="P63">
        <f t="shared" si="55"/>
        <v>58812</v>
      </c>
      <c r="Q63" s="4">
        <f t="shared" si="56"/>
        <v>7.3278922668843096</v>
      </c>
      <c r="R63" s="17">
        <f>SUM(M52:M63)</f>
        <v>16495</v>
      </c>
      <c r="S63" s="6" t="s">
        <v>19</v>
      </c>
      <c r="U63" s="33"/>
      <c r="V63" s="81">
        <v>229</v>
      </c>
      <c r="W63" s="81">
        <v>302</v>
      </c>
      <c r="X63" s="81">
        <v>196</v>
      </c>
      <c r="Y63" s="5">
        <f t="shared" si="40"/>
        <v>498</v>
      </c>
      <c r="Z63" s="83">
        <f t="shared" si="57"/>
        <v>6870</v>
      </c>
      <c r="AA63" s="38">
        <f t="shared" si="48"/>
        <v>4174</v>
      </c>
      <c r="AB63">
        <f t="shared" si="49"/>
        <v>5984</v>
      </c>
      <c r="AC63">
        <f t="shared" si="50"/>
        <v>3721</v>
      </c>
      <c r="AD63">
        <f t="shared" si="51"/>
        <v>9705</v>
      </c>
      <c r="AE63" s="39">
        <f t="shared" si="35"/>
        <v>2.3251078102539529</v>
      </c>
      <c r="AF63" s="3">
        <f t="shared" si="58"/>
        <v>3323</v>
      </c>
      <c r="AG63" s="3">
        <f t="shared" si="59"/>
        <v>4733</v>
      </c>
      <c r="AH63" s="3">
        <f t="shared" si="60"/>
        <v>3044</v>
      </c>
      <c r="AI63" s="3">
        <f t="shared" si="61"/>
        <v>7777</v>
      </c>
      <c r="AJ63" s="3">
        <f t="shared" si="62"/>
        <v>139286</v>
      </c>
      <c r="AK63" s="1">
        <v>42614</v>
      </c>
      <c r="AL63" s="3">
        <f t="shared" si="28"/>
        <v>565</v>
      </c>
      <c r="AM63" s="3">
        <f t="shared" si="63"/>
        <v>272</v>
      </c>
      <c r="AN63" s="3">
        <f t="shared" si="36"/>
        <v>837</v>
      </c>
      <c r="AO63" s="34">
        <f t="shared" si="64"/>
        <v>0.37303370786516854</v>
      </c>
      <c r="AQ63" s="1">
        <f t="shared" si="38"/>
        <v>42614</v>
      </c>
      <c r="AR63" s="53">
        <f t="shared" si="39"/>
        <v>16</v>
      </c>
      <c r="BN63">
        <v>2019</v>
      </c>
      <c r="BO63" s="3">
        <f>R102</f>
        <v>19470</v>
      </c>
    </row>
    <row r="64" spans="1:67">
      <c r="A64" s="1">
        <v>42644</v>
      </c>
      <c r="B64" s="3">
        <v>27</v>
      </c>
      <c r="C64">
        <v>14127</v>
      </c>
      <c r="D64">
        <v>6870</v>
      </c>
      <c r="G64">
        <f t="shared" si="53"/>
        <v>17932</v>
      </c>
      <c r="H64">
        <f t="shared" si="65"/>
        <v>455770</v>
      </c>
      <c r="I64">
        <f t="shared" si="65"/>
        <v>437838</v>
      </c>
      <c r="J64" s="1">
        <v>42644</v>
      </c>
      <c r="K64" s="3">
        <v>824</v>
      </c>
      <c r="L64" s="3">
        <v>431</v>
      </c>
      <c r="M64" s="3">
        <f>SUM(K64:L64)</f>
        <v>1255</v>
      </c>
      <c r="N64" s="3">
        <f t="shared" si="54"/>
        <v>1231.3333333333333</v>
      </c>
      <c r="O64" s="3">
        <f t="shared" si="15"/>
        <v>1375.0277777777781</v>
      </c>
      <c r="P64">
        <f t="shared" si="55"/>
        <v>60067</v>
      </c>
      <c r="Q64" s="4">
        <f t="shared" si="56"/>
        <v>7.2891604375114456</v>
      </c>
      <c r="R64" s="17">
        <f>SUM(M53:M64)</f>
        <v>16527</v>
      </c>
      <c r="S64" s="25" t="s">
        <v>47</v>
      </c>
      <c r="U64" s="33"/>
      <c r="V64" s="81">
        <v>270</v>
      </c>
      <c r="W64" s="81">
        <v>373</v>
      </c>
      <c r="X64" s="81">
        <v>242</v>
      </c>
      <c r="Y64" s="5">
        <f t="shared" si="40"/>
        <v>615</v>
      </c>
      <c r="Z64" s="83">
        <f>V64*30</f>
        <v>8100</v>
      </c>
      <c r="AA64" s="38">
        <f t="shared" si="48"/>
        <v>4444</v>
      </c>
      <c r="AB64">
        <f t="shared" si="49"/>
        <v>6357</v>
      </c>
      <c r="AC64">
        <f t="shared" si="50"/>
        <v>3963</v>
      </c>
      <c r="AD64">
        <f t="shared" si="51"/>
        <v>10320</v>
      </c>
      <c r="AE64" s="39">
        <f t="shared" si="35"/>
        <v>2.322232223222322</v>
      </c>
      <c r="AF64" s="3">
        <f t="shared" si="58"/>
        <v>3347</v>
      </c>
      <c r="AG64" s="3">
        <f t="shared" si="59"/>
        <v>4738</v>
      </c>
      <c r="AH64" s="3">
        <f t="shared" si="60"/>
        <v>3022</v>
      </c>
      <c r="AI64" s="3">
        <f t="shared" si="61"/>
        <v>7760</v>
      </c>
      <c r="AJ64" s="3">
        <f t="shared" si="62"/>
        <v>135332</v>
      </c>
      <c r="AK64" s="1">
        <v>42644</v>
      </c>
      <c r="AL64" s="3">
        <f t="shared" si="28"/>
        <v>451</v>
      </c>
      <c r="AM64" s="3">
        <f t="shared" si="63"/>
        <v>189</v>
      </c>
      <c r="AN64" s="3">
        <f t="shared" si="36"/>
        <v>640</v>
      </c>
      <c r="AO64" s="34">
        <f t="shared" si="64"/>
        <v>0.49003984063745021</v>
      </c>
      <c r="AQ64" s="1">
        <f t="shared" si="38"/>
        <v>42644</v>
      </c>
      <c r="AR64" s="53">
        <f t="shared" si="39"/>
        <v>32</v>
      </c>
    </row>
    <row r="65" spans="1:44">
      <c r="A65" s="1">
        <v>42675</v>
      </c>
      <c r="B65" s="3">
        <v>27</v>
      </c>
      <c r="C65">
        <v>9623</v>
      </c>
      <c r="D65">
        <v>10869</v>
      </c>
      <c r="G65">
        <f t="shared" ref="G65:G102" si="66">G64+C65-D65</f>
        <v>16686</v>
      </c>
      <c r="H65">
        <f t="shared" ref="H65:H102" si="67">H64+C65</f>
        <v>465393</v>
      </c>
      <c r="I65">
        <f t="shared" ref="I65:I101" si="68">I64+D65</f>
        <v>448707</v>
      </c>
      <c r="J65" s="1">
        <v>42675</v>
      </c>
      <c r="K65" s="3">
        <v>1265</v>
      </c>
      <c r="L65" s="3">
        <v>534</v>
      </c>
      <c r="M65" s="3">
        <f>SUM(K65:L65)</f>
        <v>1799</v>
      </c>
      <c r="N65" s="3">
        <f>(M65+M64+M63)/3</f>
        <v>1463</v>
      </c>
      <c r="O65" s="3">
        <f t="shared" si="15"/>
        <v>1387.3611111111113</v>
      </c>
      <c r="P65">
        <f>P64+M65</f>
        <v>61866</v>
      </c>
      <c r="Q65" s="4">
        <f>I65/P65</f>
        <v>7.2528852681602176</v>
      </c>
      <c r="R65" s="17">
        <f>SUM(M54:M65)</f>
        <v>16923</v>
      </c>
      <c r="S65" s="6" t="s">
        <v>19</v>
      </c>
      <c r="U65" s="33"/>
      <c r="V65" s="81">
        <v>495</v>
      </c>
      <c r="W65" s="81">
        <v>677</v>
      </c>
      <c r="X65" s="81">
        <v>333</v>
      </c>
      <c r="Y65" s="5">
        <f t="shared" si="40"/>
        <v>1010</v>
      </c>
      <c r="Z65" s="83">
        <f t="shared" si="30"/>
        <v>24255</v>
      </c>
      <c r="AA65" s="38">
        <f t="shared" ref="AA65:AA73" si="69">AA64+V65</f>
        <v>4939</v>
      </c>
      <c r="AB65">
        <f t="shared" ref="AB65:AB73" si="70">AB64+W65</f>
        <v>7034</v>
      </c>
      <c r="AC65">
        <f t="shared" ref="AC65:AC73" si="71">AC64+X65</f>
        <v>4296</v>
      </c>
      <c r="AD65">
        <f t="shared" ref="AD65:AD73" si="72">AD64+Y65</f>
        <v>11330</v>
      </c>
      <c r="AE65" s="39">
        <f t="shared" ref="AE65:AE73" si="73">AD65/AA65</f>
        <v>2.2939866369710469</v>
      </c>
      <c r="AF65" s="3">
        <f t="shared" ref="AF65:AF73" si="74">SUM(V54:V65)</f>
        <v>3563</v>
      </c>
      <c r="AG65" s="3">
        <f t="shared" ref="AG65:AG72" si="75">SUM(W54:W65)</f>
        <v>5019</v>
      </c>
      <c r="AH65" s="3">
        <f t="shared" ref="AH65:AH72" si="76">SUM(X54:X65)</f>
        <v>3096</v>
      </c>
      <c r="AI65" s="3">
        <f t="shared" ref="AI65:AI73" si="77">SUM(Y54:Y65)</f>
        <v>8115</v>
      </c>
      <c r="AJ65" s="3">
        <f t="shared" si="62"/>
        <v>145916</v>
      </c>
      <c r="AK65" s="1">
        <v>42675</v>
      </c>
      <c r="AL65" s="3">
        <f t="shared" si="28"/>
        <v>588</v>
      </c>
      <c r="AM65" s="3">
        <f t="shared" si="63"/>
        <v>201</v>
      </c>
      <c r="AN65" s="3">
        <f t="shared" si="36"/>
        <v>789</v>
      </c>
      <c r="AO65" s="34">
        <f t="shared" si="64"/>
        <v>0.56142301278488049</v>
      </c>
      <c r="AQ65" s="1">
        <f t="shared" si="38"/>
        <v>42675</v>
      </c>
      <c r="AR65" s="53">
        <f t="shared" si="39"/>
        <v>396</v>
      </c>
    </row>
    <row r="66" spans="1:44">
      <c r="A66" s="1">
        <v>42705</v>
      </c>
      <c r="B66" s="3">
        <v>27</v>
      </c>
      <c r="C66">
        <v>28542</v>
      </c>
      <c r="D66">
        <v>15330</v>
      </c>
      <c r="E66" s="48">
        <f>SUM(C55:C66)</f>
        <v>122820</v>
      </c>
      <c r="F66">
        <f>SUM(D55:D66)</f>
        <v>106935</v>
      </c>
      <c r="G66">
        <f t="shared" si="66"/>
        <v>29898</v>
      </c>
      <c r="H66">
        <f t="shared" si="67"/>
        <v>493935</v>
      </c>
      <c r="I66">
        <f t="shared" si="68"/>
        <v>464037</v>
      </c>
      <c r="J66" s="1">
        <v>42705</v>
      </c>
      <c r="K66" s="3">
        <v>1128</v>
      </c>
      <c r="L66" s="3">
        <v>590</v>
      </c>
      <c r="M66" s="3">
        <f t="shared" ref="M66:M101" si="78">SUM(K66:L66)</f>
        <v>1718</v>
      </c>
      <c r="N66" s="3">
        <f t="shared" ref="N66:N101" si="79">(M66+M65+M64)/3</f>
        <v>1590.6666666666667</v>
      </c>
      <c r="O66" s="3">
        <f t="shared" si="15"/>
        <v>1388.3333333333337</v>
      </c>
      <c r="P66">
        <f t="shared" ref="P66:P101" si="80">P65+M66</f>
        <v>63584</v>
      </c>
      <c r="Q66" s="4">
        <f t="shared" ref="Q66:Q101" si="81">I66/P66</f>
        <v>7.2980152239557121</v>
      </c>
      <c r="R66" s="47">
        <f t="shared" ref="R66:R101" si="82">SUM(M55:M66)</f>
        <v>16530</v>
      </c>
      <c r="S66" s="23">
        <v>2016</v>
      </c>
      <c r="T66" s="97">
        <f>D66/M66</f>
        <v>8.9231664726426079</v>
      </c>
      <c r="U66" s="33"/>
      <c r="V66" s="81">
        <v>406</v>
      </c>
      <c r="W66" s="81">
        <v>586</v>
      </c>
      <c r="X66" s="81">
        <v>331</v>
      </c>
      <c r="Y66" s="5">
        <f t="shared" si="40"/>
        <v>917</v>
      </c>
      <c r="Z66" s="83">
        <f t="shared" si="30"/>
        <v>19894</v>
      </c>
      <c r="AA66" s="38">
        <f t="shared" si="69"/>
        <v>5345</v>
      </c>
      <c r="AB66">
        <f t="shared" si="70"/>
        <v>7620</v>
      </c>
      <c r="AC66">
        <f t="shared" si="71"/>
        <v>4627</v>
      </c>
      <c r="AD66">
        <f t="shared" si="72"/>
        <v>12247</v>
      </c>
      <c r="AE66" s="39">
        <f t="shared" si="73"/>
        <v>2.2913002806361087</v>
      </c>
      <c r="AF66" s="3">
        <f t="shared" si="74"/>
        <v>3580</v>
      </c>
      <c r="AG66" s="3">
        <f t="shared" si="75"/>
        <v>5040</v>
      </c>
      <c r="AH66" s="3">
        <f t="shared" si="76"/>
        <v>3010</v>
      </c>
      <c r="AI66" s="3">
        <f t="shared" si="77"/>
        <v>8050</v>
      </c>
      <c r="AJ66" s="3">
        <f t="shared" si="62"/>
        <v>146749</v>
      </c>
      <c r="AK66" s="1">
        <v>42705</v>
      </c>
      <c r="AL66" s="3">
        <f t="shared" si="28"/>
        <v>542</v>
      </c>
      <c r="AM66" s="3">
        <f t="shared" si="63"/>
        <v>259</v>
      </c>
      <c r="AN66" s="3">
        <f t="shared" si="36"/>
        <v>801</v>
      </c>
      <c r="AO66" s="34">
        <f t="shared" si="64"/>
        <v>0.53376018626309663</v>
      </c>
      <c r="AQ66" s="1">
        <f t="shared" si="38"/>
        <v>42705</v>
      </c>
      <c r="AR66" s="53">
        <f t="shared" si="39"/>
        <v>-393</v>
      </c>
    </row>
    <row r="67" spans="1:44">
      <c r="A67" s="1">
        <v>42736</v>
      </c>
      <c r="B67" s="3">
        <v>27</v>
      </c>
      <c r="C67">
        <v>8127</v>
      </c>
      <c r="D67">
        <v>8588</v>
      </c>
      <c r="G67">
        <f t="shared" si="66"/>
        <v>29437</v>
      </c>
      <c r="H67">
        <f t="shared" si="67"/>
        <v>502062</v>
      </c>
      <c r="I67">
        <f t="shared" si="68"/>
        <v>472625</v>
      </c>
      <c r="J67" s="1">
        <v>42736</v>
      </c>
      <c r="K67" s="3">
        <v>1119</v>
      </c>
      <c r="L67" s="3">
        <v>514</v>
      </c>
      <c r="M67" s="3">
        <f t="shared" si="78"/>
        <v>1633</v>
      </c>
      <c r="N67" s="3">
        <f t="shared" si="79"/>
        <v>1716.6666666666667</v>
      </c>
      <c r="O67" s="3">
        <f t="shared" si="15"/>
        <v>1385.6666666666667</v>
      </c>
      <c r="P67">
        <f t="shared" si="80"/>
        <v>65217</v>
      </c>
      <c r="Q67" s="4">
        <f t="shared" si="81"/>
        <v>7.246960148427557</v>
      </c>
      <c r="R67" s="17">
        <f t="shared" si="82"/>
        <v>16431</v>
      </c>
      <c r="S67" s="6" t="s">
        <v>19</v>
      </c>
      <c r="T67" s="97">
        <f t="shared" ref="T67:T123" si="83">D67/M67</f>
        <v>5.259032455603184</v>
      </c>
      <c r="U67" s="33"/>
      <c r="V67" s="81">
        <v>451</v>
      </c>
      <c r="W67" s="81">
        <v>625</v>
      </c>
      <c r="X67" s="81">
        <v>304</v>
      </c>
      <c r="Y67" s="5">
        <f t="shared" si="40"/>
        <v>929</v>
      </c>
      <c r="Z67" s="83">
        <f t="shared" si="30"/>
        <v>22099</v>
      </c>
      <c r="AA67" s="38">
        <f t="shared" si="69"/>
        <v>5796</v>
      </c>
      <c r="AB67">
        <f t="shared" si="70"/>
        <v>8245</v>
      </c>
      <c r="AC67">
        <f t="shared" si="71"/>
        <v>4931</v>
      </c>
      <c r="AD67">
        <f t="shared" si="72"/>
        <v>13176</v>
      </c>
      <c r="AE67" s="39">
        <f t="shared" si="73"/>
        <v>2.2732919254658386</v>
      </c>
      <c r="AF67" s="3">
        <f t="shared" si="74"/>
        <v>3598</v>
      </c>
      <c r="AG67" s="3">
        <f t="shared" si="75"/>
        <v>5023</v>
      </c>
      <c r="AH67" s="3">
        <f t="shared" si="76"/>
        <v>2882</v>
      </c>
      <c r="AI67" s="3">
        <f t="shared" si="77"/>
        <v>7905</v>
      </c>
      <c r="AJ67" s="3">
        <f t="shared" si="62"/>
        <v>147631</v>
      </c>
      <c r="AK67" s="1">
        <v>42736</v>
      </c>
      <c r="AL67" s="3">
        <f t="shared" si="28"/>
        <v>494</v>
      </c>
      <c r="AM67" s="3">
        <f t="shared" si="63"/>
        <v>210</v>
      </c>
      <c r="AN67" s="3">
        <f t="shared" si="36"/>
        <v>704</v>
      </c>
      <c r="AO67" s="34">
        <f t="shared" si="64"/>
        <v>0.56889161053276183</v>
      </c>
      <c r="AQ67" s="1">
        <f t="shared" si="38"/>
        <v>42736</v>
      </c>
      <c r="AR67" s="53">
        <f t="shared" si="39"/>
        <v>-99</v>
      </c>
    </row>
    <row r="68" spans="1:44">
      <c r="A68" s="1">
        <v>42767</v>
      </c>
      <c r="B68" s="3">
        <v>28</v>
      </c>
      <c r="C68">
        <v>7046</v>
      </c>
      <c r="D68">
        <v>10254</v>
      </c>
      <c r="G68">
        <f t="shared" si="66"/>
        <v>26229</v>
      </c>
      <c r="H68">
        <f t="shared" si="67"/>
        <v>509108</v>
      </c>
      <c r="I68">
        <f t="shared" si="68"/>
        <v>482879</v>
      </c>
      <c r="J68" s="1">
        <v>42767</v>
      </c>
      <c r="K68" s="3">
        <v>1043</v>
      </c>
      <c r="L68" s="3">
        <v>529</v>
      </c>
      <c r="M68" s="3">
        <f t="shared" si="78"/>
        <v>1572</v>
      </c>
      <c r="N68" s="3">
        <f t="shared" si="79"/>
        <v>1641</v>
      </c>
      <c r="O68" s="3">
        <f t="shared" si="15"/>
        <v>1373.0277777777781</v>
      </c>
      <c r="P68">
        <f t="shared" si="80"/>
        <v>66789</v>
      </c>
      <c r="Q68" s="4">
        <f t="shared" si="81"/>
        <v>7.2299181002859756</v>
      </c>
      <c r="R68" s="17">
        <f t="shared" si="82"/>
        <v>16468</v>
      </c>
      <c r="S68" s="6" t="s">
        <v>19</v>
      </c>
      <c r="T68" s="97">
        <f t="shared" si="83"/>
        <v>6.5229007633587788</v>
      </c>
      <c r="U68" s="33"/>
      <c r="V68" s="81">
        <v>409</v>
      </c>
      <c r="W68" s="81">
        <v>580</v>
      </c>
      <c r="X68" s="81">
        <v>331</v>
      </c>
      <c r="Y68" s="5">
        <f t="shared" si="40"/>
        <v>911</v>
      </c>
      <c r="Z68" s="83">
        <f t="shared" si="30"/>
        <v>20041</v>
      </c>
      <c r="AA68" s="38">
        <f t="shared" si="69"/>
        <v>6205</v>
      </c>
      <c r="AB68">
        <f t="shared" si="70"/>
        <v>8825</v>
      </c>
      <c r="AC68">
        <f t="shared" si="71"/>
        <v>5262</v>
      </c>
      <c r="AD68">
        <f t="shared" si="72"/>
        <v>14087</v>
      </c>
      <c r="AE68" s="39">
        <f t="shared" si="73"/>
        <v>2.2702659145850119</v>
      </c>
      <c r="AF68" s="3">
        <f t="shared" si="74"/>
        <v>3616</v>
      </c>
      <c r="AG68" s="3">
        <f t="shared" si="75"/>
        <v>5054</v>
      </c>
      <c r="AH68" s="3">
        <f t="shared" si="76"/>
        <v>2888</v>
      </c>
      <c r="AI68" s="3">
        <f t="shared" si="77"/>
        <v>7942</v>
      </c>
      <c r="AJ68" s="3">
        <f t="shared" si="62"/>
        <v>148513</v>
      </c>
      <c r="AK68" s="1">
        <v>42767</v>
      </c>
      <c r="AL68" s="3">
        <f t="shared" si="28"/>
        <v>463</v>
      </c>
      <c r="AM68" s="3">
        <f t="shared" si="63"/>
        <v>198</v>
      </c>
      <c r="AN68" s="3">
        <f t="shared" si="36"/>
        <v>661</v>
      </c>
      <c r="AO68" s="34">
        <f t="shared" si="64"/>
        <v>0.57951653944020354</v>
      </c>
      <c r="AQ68" s="1">
        <f t="shared" si="38"/>
        <v>42767</v>
      </c>
      <c r="AR68" s="53">
        <f t="shared" si="39"/>
        <v>37</v>
      </c>
    </row>
    <row r="69" spans="1:44">
      <c r="A69" s="1">
        <v>42795</v>
      </c>
      <c r="B69" s="3">
        <v>27</v>
      </c>
      <c r="C69">
        <v>8679</v>
      </c>
      <c r="D69">
        <v>12662</v>
      </c>
      <c r="E69">
        <f>SUM(C58:C69)</f>
        <v>126697</v>
      </c>
      <c r="F69">
        <f>SUM(D58:D69)</f>
        <v>108925</v>
      </c>
      <c r="G69">
        <f t="shared" si="66"/>
        <v>22246</v>
      </c>
      <c r="H69">
        <f t="shared" si="67"/>
        <v>517787</v>
      </c>
      <c r="I69">
        <f t="shared" si="68"/>
        <v>495541</v>
      </c>
      <c r="J69" s="1">
        <v>42795</v>
      </c>
      <c r="K69" s="3">
        <v>1192</v>
      </c>
      <c r="L69" s="3">
        <v>589</v>
      </c>
      <c r="M69" s="3">
        <f t="shared" si="78"/>
        <v>1781</v>
      </c>
      <c r="N69" s="3">
        <f t="shared" si="79"/>
        <v>1662</v>
      </c>
      <c r="O69" s="3">
        <f t="shared" si="15"/>
        <v>1375.6388888888887</v>
      </c>
      <c r="P69">
        <f t="shared" si="80"/>
        <v>68570</v>
      </c>
      <c r="Q69" s="4">
        <f t="shared" si="81"/>
        <v>7.2267901414612803</v>
      </c>
      <c r="R69" s="41">
        <f t="shared" si="82"/>
        <v>16624</v>
      </c>
      <c r="S69" s="21" t="s">
        <v>48</v>
      </c>
      <c r="T69" s="97">
        <f t="shared" si="83"/>
        <v>7.1094890510948909</v>
      </c>
      <c r="U69" s="33"/>
      <c r="V69" s="81">
        <v>415</v>
      </c>
      <c r="W69" s="81">
        <v>542</v>
      </c>
      <c r="X69" s="81">
        <v>325</v>
      </c>
      <c r="Y69" s="5">
        <f t="shared" si="40"/>
        <v>867</v>
      </c>
      <c r="Z69" s="83">
        <f t="shared" si="30"/>
        <v>20335</v>
      </c>
      <c r="AA69" s="38">
        <f t="shared" si="69"/>
        <v>6620</v>
      </c>
      <c r="AB69">
        <f t="shared" si="70"/>
        <v>9367</v>
      </c>
      <c r="AC69">
        <f t="shared" si="71"/>
        <v>5587</v>
      </c>
      <c r="AD69">
        <f t="shared" si="72"/>
        <v>14954</v>
      </c>
      <c r="AE69" s="39">
        <f t="shared" si="73"/>
        <v>2.2589123867069487</v>
      </c>
      <c r="AF69" s="3">
        <f t="shared" si="74"/>
        <v>3685</v>
      </c>
      <c r="AG69" s="3">
        <f t="shared" si="75"/>
        <v>5102</v>
      </c>
      <c r="AH69" s="3">
        <f t="shared" si="76"/>
        <v>2895</v>
      </c>
      <c r="AI69" s="3">
        <f t="shared" si="77"/>
        <v>7997</v>
      </c>
      <c r="AJ69" s="3">
        <f t="shared" si="62"/>
        <v>151894</v>
      </c>
      <c r="AK69" s="1">
        <v>42795</v>
      </c>
      <c r="AL69" s="3">
        <f t="shared" ref="AL69:AM76" si="84">K69-W69</f>
        <v>650</v>
      </c>
      <c r="AM69" s="3">
        <f t="shared" si="84"/>
        <v>264</v>
      </c>
      <c r="AN69" s="3">
        <f t="shared" si="36"/>
        <v>914</v>
      </c>
      <c r="AO69" s="34">
        <f t="shared" si="64"/>
        <v>0.48680516563728243</v>
      </c>
      <c r="AQ69" s="1">
        <f t="shared" si="38"/>
        <v>42795</v>
      </c>
      <c r="AR69" s="53">
        <f t="shared" si="39"/>
        <v>156</v>
      </c>
    </row>
    <row r="70" spans="1:44">
      <c r="A70" s="1">
        <v>42826</v>
      </c>
      <c r="B70" s="3">
        <v>27</v>
      </c>
      <c r="C70">
        <v>5245</v>
      </c>
      <c r="D70">
        <v>7486</v>
      </c>
      <c r="G70">
        <f t="shared" si="66"/>
        <v>20005</v>
      </c>
      <c r="H70">
        <f t="shared" si="67"/>
        <v>523032</v>
      </c>
      <c r="I70">
        <f t="shared" si="68"/>
        <v>503027</v>
      </c>
      <c r="J70" s="1">
        <v>42826</v>
      </c>
      <c r="K70" s="3">
        <v>836</v>
      </c>
      <c r="L70" s="3">
        <v>369</v>
      </c>
      <c r="M70" s="3">
        <f t="shared" si="78"/>
        <v>1205</v>
      </c>
      <c r="N70" s="3">
        <f t="shared" si="79"/>
        <v>1519.3333333333333</v>
      </c>
      <c r="O70" s="3">
        <f t="shared" si="15"/>
        <v>1387.6944444444443</v>
      </c>
      <c r="P70">
        <f t="shared" si="80"/>
        <v>69775</v>
      </c>
      <c r="Q70" s="4">
        <f t="shared" si="81"/>
        <v>7.209272662128269</v>
      </c>
      <c r="R70" s="17">
        <f t="shared" si="82"/>
        <v>16865</v>
      </c>
      <c r="S70" s="6" t="s">
        <v>19</v>
      </c>
      <c r="T70" s="97">
        <f t="shared" si="83"/>
        <v>6.2124481327800831</v>
      </c>
      <c r="V70" s="81">
        <v>268</v>
      </c>
      <c r="W70" s="81">
        <v>355</v>
      </c>
      <c r="X70" s="81">
        <v>185</v>
      </c>
      <c r="Y70" s="5">
        <f t="shared" si="40"/>
        <v>540</v>
      </c>
      <c r="Z70" s="83">
        <f t="shared" ref="Z70:Z76" si="85">V70*30</f>
        <v>8040</v>
      </c>
      <c r="AA70" s="38">
        <f t="shared" si="69"/>
        <v>6888</v>
      </c>
      <c r="AB70">
        <f t="shared" si="70"/>
        <v>9722</v>
      </c>
      <c r="AC70">
        <f t="shared" si="71"/>
        <v>5772</v>
      </c>
      <c r="AD70">
        <f t="shared" si="72"/>
        <v>15494</v>
      </c>
      <c r="AE70" s="39">
        <f t="shared" si="73"/>
        <v>2.2494192799070847</v>
      </c>
      <c r="AF70" s="3">
        <f t="shared" si="74"/>
        <v>3724</v>
      </c>
      <c r="AG70" s="3">
        <f t="shared" si="75"/>
        <v>5144</v>
      </c>
      <c r="AH70" s="3">
        <f t="shared" si="76"/>
        <v>2892</v>
      </c>
      <c r="AI70" s="3">
        <f t="shared" si="77"/>
        <v>8036</v>
      </c>
      <c r="AJ70" s="3">
        <f t="shared" ref="AJ70:AJ75" si="86">SUM(Z59:Z70)</f>
        <v>153064</v>
      </c>
      <c r="AK70" s="1">
        <v>42826</v>
      </c>
      <c r="AL70" s="3">
        <f t="shared" si="84"/>
        <v>481</v>
      </c>
      <c r="AM70" s="3">
        <f t="shared" si="84"/>
        <v>184</v>
      </c>
      <c r="AN70" s="3">
        <f t="shared" si="36"/>
        <v>665</v>
      </c>
      <c r="AO70" s="34">
        <f t="shared" si="64"/>
        <v>0.44813278008298757</v>
      </c>
      <c r="AQ70" s="1">
        <f t="shared" si="38"/>
        <v>42826</v>
      </c>
      <c r="AR70" s="53">
        <f t="shared" si="39"/>
        <v>241</v>
      </c>
    </row>
    <row r="71" spans="1:44">
      <c r="A71" s="1">
        <v>42856</v>
      </c>
      <c r="B71" s="3">
        <v>27</v>
      </c>
      <c r="C71">
        <v>8995</v>
      </c>
      <c r="D71">
        <v>9827</v>
      </c>
      <c r="G71">
        <f t="shared" si="66"/>
        <v>19173</v>
      </c>
      <c r="H71">
        <f t="shared" si="67"/>
        <v>532027</v>
      </c>
      <c r="I71">
        <f t="shared" si="68"/>
        <v>512854</v>
      </c>
      <c r="J71" s="1">
        <v>42856</v>
      </c>
      <c r="K71" s="3">
        <v>844</v>
      </c>
      <c r="L71" s="3">
        <v>398</v>
      </c>
      <c r="M71" s="3">
        <f t="shared" si="78"/>
        <v>1242</v>
      </c>
      <c r="N71" s="3">
        <f t="shared" si="79"/>
        <v>1409.3333333333333</v>
      </c>
      <c r="O71" s="3">
        <f t="shared" si="15"/>
        <v>1398.7222222222219</v>
      </c>
      <c r="P71">
        <f t="shared" si="80"/>
        <v>71017</v>
      </c>
      <c r="Q71" s="4">
        <f t="shared" si="81"/>
        <v>7.2215666671360381</v>
      </c>
      <c r="R71" s="17">
        <f t="shared" si="82"/>
        <v>16865</v>
      </c>
      <c r="S71" s="6" t="s">
        <v>19</v>
      </c>
      <c r="T71" s="97">
        <f t="shared" si="83"/>
        <v>7.9122383252818036</v>
      </c>
      <c r="V71" s="81">
        <v>249</v>
      </c>
      <c r="W71" s="81">
        <v>336</v>
      </c>
      <c r="X71" s="81">
        <v>188</v>
      </c>
      <c r="Y71" s="5">
        <f t="shared" si="40"/>
        <v>524</v>
      </c>
      <c r="Z71" s="83">
        <f t="shared" si="85"/>
        <v>7470</v>
      </c>
      <c r="AA71" s="38">
        <f t="shared" si="69"/>
        <v>7137</v>
      </c>
      <c r="AB71">
        <f t="shared" si="70"/>
        <v>10058</v>
      </c>
      <c r="AC71">
        <f t="shared" si="71"/>
        <v>5960</v>
      </c>
      <c r="AD71">
        <f t="shared" si="72"/>
        <v>16018</v>
      </c>
      <c r="AE71" s="39">
        <f t="shared" si="73"/>
        <v>2.2443603755079167</v>
      </c>
      <c r="AF71" s="3">
        <f t="shared" si="74"/>
        <v>3775</v>
      </c>
      <c r="AG71" s="3">
        <f t="shared" si="75"/>
        <v>5205</v>
      </c>
      <c r="AH71" s="3">
        <f t="shared" si="76"/>
        <v>2902</v>
      </c>
      <c r="AI71" s="3">
        <f t="shared" si="77"/>
        <v>8107</v>
      </c>
      <c r="AJ71" s="3">
        <f t="shared" si="86"/>
        <v>154594</v>
      </c>
      <c r="AK71" s="1">
        <v>42856</v>
      </c>
      <c r="AL71" s="3">
        <f t="shared" si="84"/>
        <v>508</v>
      </c>
      <c r="AM71" s="3">
        <f t="shared" si="84"/>
        <v>210</v>
      </c>
      <c r="AN71" s="3">
        <f t="shared" si="36"/>
        <v>718</v>
      </c>
      <c r="AO71" s="45">
        <f t="shared" si="64"/>
        <v>0.4219001610305958</v>
      </c>
      <c r="AQ71" s="1">
        <f t="shared" si="38"/>
        <v>42856</v>
      </c>
      <c r="AR71" s="53">
        <f t="shared" si="39"/>
        <v>0</v>
      </c>
    </row>
    <row r="72" spans="1:44">
      <c r="A72" s="1">
        <v>42887</v>
      </c>
      <c r="B72" s="3">
        <v>27</v>
      </c>
      <c r="C72">
        <v>7400</v>
      </c>
      <c r="D72">
        <v>7876</v>
      </c>
      <c r="G72">
        <f t="shared" si="66"/>
        <v>18697</v>
      </c>
      <c r="H72">
        <f t="shared" si="67"/>
        <v>539427</v>
      </c>
      <c r="I72">
        <f t="shared" si="68"/>
        <v>520730</v>
      </c>
      <c r="J72" s="1">
        <v>42887</v>
      </c>
      <c r="K72" s="3">
        <v>868</v>
      </c>
      <c r="L72" s="3">
        <v>427</v>
      </c>
      <c r="M72" s="3">
        <f t="shared" si="78"/>
        <v>1295</v>
      </c>
      <c r="N72" s="3">
        <f t="shared" si="79"/>
        <v>1247.3333333333333</v>
      </c>
      <c r="O72" s="3">
        <f t="shared" si="15"/>
        <v>1410.1944444444446</v>
      </c>
      <c r="P72">
        <f t="shared" si="80"/>
        <v>72312</v>
      </c>
      <c r="Q72" s="4">
        <f t="shared" si="81"/>
        <v>7.2011561013386434</v>
      </c>
      <c r="R72" s="17">
        <f t="shared" si="82"/>
        <v>17037</v>
      </c>
      <c r="S72" s="6" t="s">
        <v>19</v>
      </c>
      <c r="T72" s="97">
        <f t="shared" si="83"/>
        <v>6.0818532818532818</v>
      </c>
      <c r="V72" s="81">
        <v>242</v>
      </c>
      <c r="W72" s="81">
        <v>334</v>
      </c>
      <c r="X72" s="81">
        <v>195</v>
      </c>
      <c r="Y72" s="5">
        <f t="shared" si="40"/>
        <v>529</v>
      </c>
      <c r="Z72" s="83">
        <f t="shared" si="85"/>
        <v>7260</v>
      </c>
      <c r="AA72" s="38">
        <f t="shared" si="69"/>
        <v>7379</v>
      </c>
      <c r="AB72">
        <f t="shared" si="70"/>
        <v>10392</v>
      </c>
      <c r="AC72">
        <f t="shared" si="71"/>
        <v>6155</v>
      </c>
      <c r="AD72">
        <f t="shared" si="72"/>
        <v>16547</v>
      </c>
      <c r="AE72" s="39">
        <f t="shared" si="73"/>
        <v>2.2424447757148664</v>
      </c>
      <c r="AF72" s="3">
        <f t="shared" si="74"/>
        <v>3784</v>
      </c>
      <c r="AG72" s="3">
        <f t="shared" si="75"/>
        <v>5215</v>
      </c>
      <c r="AH72" s="3">
        <f t="shared" si="76"/>
        <v>2945</v>
      </c>
      <c r="AI72" s="3">
        <f t="shared" si="77"/>
        <v>8160</v>
      </c>
      <c r="AJ72" s="3">
        <f t="shared" si="86"/>
        <v>154864</v>
      </c>
      <c r="AK72" s="1">
        <v>42887</v>
      </c>
      <c r="AL72" s="3">
        <f t="shared" si="84"/>
        <v>534</v>
      </c>
      <c r="AM72" s="3">
        <f t="shared" si="84"/>
        <v>232</v>
      </c>
      <c r="AN72" s="3">
        <f t="shared" si="36"/>
        <v>766</v>
      </c>
      <c r="AO72" s="34">
        <f t="shared" si="64"/>
        <v>0.40849420849420848</v>
      </c>
      <c r="AQ72" s="1">
        <f t="shared" si="38"/>
        <v>42887</v>
      </c>
      <c r="AR72" s="53">
        <f t="shared" si="39"/>
        <v>172</v>
      </c>
    </row>
    <row r="73" spans="1:44">
      <c r="A73" s="1">
        <v>42917</v>
      </c>
      <c r="B73" s="3">
        <v>27</v>
      </c>
      <c r="C73">
        <v>10351</v>
      </c>
      <c r="D73">
        <v>12438</v>
      </c>
      <c r="G73">
        <f t="shared" si="66"/>
        <v>16610</v>
      </c>
      <c r="H73">
        <f t="shared" si="67"/>
        <v>549778</v>
      </c>
      <c r="I73">
        <f t="shared" si="68"/>
        <v>533168</v>
      </c>
      <c r="J73" s="1">
        <v>42917</v>
      </c>
      <c r="K73" s="3">
        <v>810</v>
      </c>
      <c r="L73" s="3">
        <v>426</v>
      </c>
      <c r="M73" s="3">
        <f t="shared" si="78"/>
        <v>1236</v>
      </c>
      <c r="N73" s="3">
        <f t="shared" si="79"/>
        <v>1257.6666666666667</v>
      </c>
      <c r="O73" s="3">
        <f t="shared" si="15"/>
        <v>1418.8055555555557</v>
      </c>
      <c r="P73">
        <f t="shared" si="80"/>
        <v>73548</v>
      </c>
      <c r="Q73" s="4">
        <f t="shared" si="81"/>
        <v>7.2492521890466088</v>
      </c>
      <c r="R73" s="17">
        <f t="shared" si="82"/>
        <v>17175</v>
      </c>
      <c r="S73" s="6" t="s">
        <v>19</v>
      </c>
      <c r="T73" s="97">
        <f t="shared" si="83"/>
        <v>10.063106796116505</v>
      </c>
      <c r="V73" s="81">
        <v>234</v>
      </c>
      <c r="W73" s="81">
        <v>325</v>
      </c>
      <c r="X73" s="81">
        <v>203</v>
      </c>
      <c r="Y73" s="5">
        <f t="shared" si="40"/>
        <v>528</v>
      </c>
      <c r="Z73" s="83">
        <f t="shared" si="85"/>
        <v>7020</v>
      </c>
      <c r="AA73" s="38">
        <f t="shared" si="69"/>
        <v>7613</v>
      </c>
      <c r="AB73">
        <f t="shared" si="70"/>
        <v>10717</v>
      </c>
      <c r="AC73">
        <f t="shared" si="71"/>
        <v>6358</v>
      </c>
      <c r="AD73">
        <f t="shared" si="72"/>
        <v>17075</v>
      </c>
      <c r="AE73" s="39">
        <f t="shared" si="73"/>
        <v>2.2428740312623145</v>
      </c>
      <c r="AF73" s="3">
        <f t="shared" si="74"/>
        <v>3847</v>
      </c>
      <c r="AG73" s="3">
        <f>SUM(W62:W73)</f>
        <v>5299</v>
      </c>
      <c r="AH73" s="3">
        <f>SUM(X62:X73)</f>
        <v>2994</v>
      </c>
      <c r="AI73" s="3">
        <f t="shared" si="77"/>
        <v>8293</v>
      </c>
      <c r="AJ73" s="3">
        <f t="shared" si="86"/>
        <v>156754</v>
      </c>
      <c r="AK73" s="1">
        <v>42917</v>
      </c>
      <c r="AL73" s="3">
        <f t="shared" si="84"/>
        <v>485</v>
      </c>
      <c r="AM73" s="3">
        <f t="shared" si="84"/>
        <v>223</v>
      </c>
      <c r="AN73" s="3">
        <f t="shared" si="36"/>
        <v>708</v>
      </c>
      <c r="AO73" s="34">
        <f>Y73/(AN73+Y73)</f>
        <v>0.42718446601941745</v>
      </c>
      <c r="AQ73" s="1">
        <f t="shared" si="38"/>
        <v>42917</v>
      </c>
      <c r="AR73" s="53">
        <f t="shared" si="39"/>
        <v>138</v>
      </c>
    </row>
    <row r="74" spans="1:44">
      <c r="A74" s="1">
        <v>42948</v>
      </c>
      <c r="B74" s="3">
        <v>27</v>
      </c>
      <c r="C74">
        <v>12183</v>
      </c>
      <c r="D74">
        <v>8798</v>
      </c>
      <c r="G74" s="71">
        <f>G73+C74-D74-4200</f>
        <v>15795</v>
      </c>
      <c r="H74">
        <f t="shared" si="67"/>
        <v>561961</v>
      </c>
      <c r="I74">
        <f t="shared" si="68"/>
        <v>541966</v>
      </c>
      <c r="J74" s="1">
        <v>42948</v>
      </c>
      <c r="K74" s="3">
        <v>819</v>
      </c>
      <c r="L74" s="3">
        <v>442</v>
      </c>
      <c r="M74" s="3">
        <f t="shared" si="78"/>
        <v>1261</v>
      </c>
      <c r="N74" s="3">
        <f t="shared" si="79"/>
        <v>1264</v>
      </c>
      <c r="O74" s="3">
        <f t="shared" si="15"/>
        <v>1431.7777777777781</v>
      </c>
      <c r="P74">
        <f t="shared" si="80"/>
        <v>74809</v>
      </c>
      <c r="Q74" s="4">
        <f t="shared" si="81"/>
        <v>7.2446630752984262</v>
      </c>
      <c r="R74" s="17">
        <f t="shared" si="82"/>
        <v>17332</v>
      </c>
      <c r="S74" s="6" t="s">
        <v>19</v>
      </c>
      <c r="T74" s="97">
        <f t="shared" si="83"/>
        <v>6.9770023790642348</v>
      </c>
      <c r="V74" s="81">
        <v>233</v>
      </c>
      <c r="W74" s="81">
        <v>316</v>
      </c>
      <c r="X74" s="81">
        <v>224</v>
      </c>
      <c r="Y74" s="5">
        <f t="shared" ref="Y74:Y127" si="87">X74+W74</f>
        <v>540</v>
      </c>
      <c r="Z74" s="83">
        <f t="shared" si="85"/>
        <v>6990</v>
      </c>
      <c r="AA74" s="38">
        <f t="shared" ref="AA74:AD75" si="88">AA73+V74</f>
        <v>7846</v>
      </c>
      <c r="AB74">
        <f t="shared" si="88"/>
        <v>11033</v>
      </c>
      <c r="AC74">
        <f t="shared" si="88"/>
        <v>6582</v>
      </c>
      <c r="AD74">
        <f t="shared" si="88"/>
        <v>17615</v>
      </c>
      <c r="AE74" s="39">
        <f>AD74/AA74</f>
        <v>2.2450930410400205</v>
      </c>
      <c r="AF74" s="3">
        <f t="shared" ref="AF74:AH75" si="89">SUM(V63:V74)</f>
        <v>3901</v>
      </c>
      <c r="AG74" s="3">
        <f t="shared" si="89"/>
        <v>5351</v>
      </c>
      <c r="AH74" s="3">
        <f t="shared" si="89"/>
        <v>3057</v>
      </c>
      <c r="AI74" s="3">
        <f>SUM(Y63:Y74)</f>
        <v>8408</v>
      </c>
      <c r="AJ74" s="3">
        <f t="shared" si="86"/>
        <v>158374</v>
      </c>
      <c r="AK74" s="1">
        <v>42948</v>
      </c>
      <c r="AL74" s="3">
        <f t="shared" si="84"/>
        <v>503</v>
      </c>
      <c r="AM74" s="3">
        <f t="shared" si="84"/>
        <v>218</v>
      </c>
      <c r="AN74" s="3">
        <f t="shared" si="36"/>
        <v>721</v>
      </c>
      <c r="AO74" s="34">
        <f>Y74/(AN74+Y74)</f>
        <v>0.42823156225218079</v>
      </c>
      <c r="AQ74" s="1">
        <f t="shared" si="38"/>
        <v>42948</v>
      </c>
      <c r="AR74" s="53">
        <f t="shared" si="39"/>
        <v>157</v>
      </c>
    </row>
    <row r="75" spans="1:44">
      <c r="A75" s="1">
        <v>42979</v>
      </c>
      <c r="B75" s="3">
        <v>27</v>
      </c>
      <c r="C75">
        <v>10210</v>
      </c>
      <c r="D75">
        <v>8193</v>
      </c>
      <c r="G75">
        <f t="shared" si="66"/>
        <v>17812</v>
      </c>
      <c r="H75">
        <f t="shared" si="67"/>
        <v>572171</v>
      </c>
      <c r="I75">
        <f t="shared" si="68"/>
        <v>550159</v>
      </c>
      <c r="J75" s="1">
        <v>42979</v>
      </c>
      <c r="K75" s="3">
        <v>827</v>
      </c>
      <c r="L75" s="3">
        <v>368</v>
      </c>
      <c r="M75" s="3">
        <f t="shared" si="78"/>
        <v>1195</v>
      </c>
      <c r="N75" s="3">
        <f t="shared" si="79"/>
        <v>1230.6666666666667</v>
      </c>
      <c r="O75" s="3">
        <f t="shared" si="15"/>
        <v>1436.0833333333337</v>
      </c>
      <c r="P75">
        <f t="shared" si="80"/>
        <v>76004</v>
      </c>
      <c r="Q75" s="4">
        <f t="shared" si="81"/>
        <v>7.2385532340403138</v>
      </c>
      <c r="R75" s="17">
        <f t="shared" si="82"/>
        <v>17192</v>
      </c>
      <c r="S75" s="6" t="s">
        <v>19</v>
      </c>
      <c r="T75" s="97">
        <f t="shared" si="83"/>
        <v>6.8560669456066945</v>
      </c>
      <c r="V75" s="81">
        <v>272</v>
      </c>
      <c r="W75" s="81">
        <v>374</v>
      </c>
      <c r="X75" s="81">
        <v>181</v>
      </c>
      <c r="Y75" s="5">
        <f t="shared" si="87"/>
        <v>555</v>
      </c>
      <c r="Z75" s="83">
        <f t="shared" si="85"/>
        <v>8160</v>
      </c>
      <c r="AA75" s="38">
        <f t="shared" si="88"/>
        <v>8118</v>
      </c>
      <c r="AB75">
        <f t="shared" si="88"/>
        <v>11407</v>
      </c>
      <c r="AC75">
        <f t="shared" si="88"/>
        <v>6763</v>
      </c>
      <c r="AD75">
        <f t="shared" si="88"/>
        <v>18170</v>
      </c>
      <c r="AE75" s="39">
        <f>AD75/AA75</f>
        <v>2.2382360187238235</v>
      </c>
      <c r="AF75" s="3">
        <f t="shared" si="89"/>
        <v>3944</v>
      </c>
      <c r="AG75" s="3">
        <f>SUM(W64:W75)</f>
        <v>5423</v>
      </c>
      <c r="AH75" s="3">
        <f>SUM(X64:X75)</f>
        <v>3042</v>
      </c>
      <c r="AI75" s="3">
        <f>SUM(Y64:Y75)</f>
        <v>8465</v>
      </c>
      <c r="AJ75" s="3">
        <f t="shared" si="86"/>
        <v>159664</v>
      </c>
      <c r="AK75" s="1">
        <v>42979</v>
      </c>
      <c r="AL75" s="3">
        <f t="shared" si="84"/>
        <v>453</v>
      </c>
      <c r="AM75" s="3">
        <f t="shared" si="84"/>
        <v>187</v>
      </c>
      <c r="AN75" s="3">
        <f t="shared" si="36"/>
        <v>640</v>
      </c>
      <c r="AO75" s="34">
        <f>Y75/(AN75+Y75)</f>
        <v>0.46443514644351463</v>
      </c>
      <c r="AQ75" s="1">
        <f t="shared" si="38"/>
        <v>42979</v>
      </c>
      <c r="AR75" s="53">
        <f t="shared" si="39"/>
        <v>-140</v>
      </c>
    </row>
    <row r="76" spans="1:44">
      <c r="A76" s="1">
        <v>43009</v>
      </c>
      <c r="B76" s="3">
        <v>27</v>
      </c>
      <c r="C76">
        <v>22726</v>
      </c>
      <c r="D76">
        <v>13538</v>
      </c>
      <c r="G76">
        <f t="shared" si="66"/>
        <v>27000</v>
      </c>
      <c r="H76">
        <f t="shared" si="67"/>
        <v>594897</v>
      </c>
      <c r="I76">
        <f t="shared" si="68"/>
        <v>563697</v>
      </c>
      <c r="J76" s="1">
        <v>43009</v>
      </c>
      <c r="K76" s="3">
        <v>887</v>
      </c>
      <c r="L76" s="3">
        <v>389</v>
      </c>
      <c r="M76" s="3">
        <f t="shared" si="78"/>
        <v>1276</v>
      </c>
      <c r="N76" s="3">
        <f t="shared" si="79"/>
        <v>1244</v>
      </c>
      <c r="O76" s="3">
        <f t="shared" si="15"/>
        <v>1437.1388888888889</v>
      </c>
      <c r="P76">
        <f t="shared" si="80"/>
        <v>77280</v>
      </c>
      <c r="Q76" s="4">
        <f t="shared" si="81"/>
        <v>7.2942158385093165</v>
      </c>
      <c r="R76" s="56">
        <f t="shared" si="82"/>
        <v>17213</v>
      </c>
      <c r="S76" s="25" t="s">
        <v>49</v>
      </c>
      <c r="T76" s="97">
        <f t="shared" si="83"/>
        <v>10.609717868338558</v>
      </c>
      <c r="V76" s="81">
        <v>283</v>
      </c>
      <c r="W76" s="81">
        <v>378</v>
      </c>
      <c r="X76" s="81">
        <v>199</v>
      </c>
      <c r="Y76" s="5">
        <f t="shared" si="87"/>
        <v>577</v>
      </c>
      <c r="Z76" s="83">
        <f t="shared" si="85"/>
        <v>8490</v>
      </c>
      <c r="AA76" s="38">
        <f t="shared" ref="AA76:AA87" si="90">AA75+V76</f>
        <v>8401</v>
      </c>
      <c r="AB76">
        <f t="shared" ref="AB76:AB87" si="91">AB75+W76</f>
        <v>11785</v>
      </c>
      <c r="AC76">
        <f t="shared" ref="AC76:AC87" si="92">AC75+X76</f>
        <v>6962</v>
      </c>
      <c r="AD76">
        <f t="shared" ref="AD76:AD87" si="93">AD75+Y76</f>
        <v>18747</v>
      </c>
      <c r="AE76" s="39">
        <f t="shared" ref="AE76:AE87" si="94">AD76/AA76</f>
        <v>2.2315200571360552</v>
      </c>
      <c r="AF76" s="3">
        <f t="shared" ref="AF76:AF87" si="95">SUM(V65:V76)</f>
        <v>3957</v>
      </c>
      <c r="AG76" s="3">
        <f t="shared" ref="AG76:AG87" si="96">SUM(W65:W76)</f>
        <v>5428</v>
      </c>
      <c r="AH76" s="3">
        <f t="shared" ref="AH76:AH87" si="97">SUM(X65:X76)</f>
        <v>2999</v>
      </c>
      <c r="AI76" s="3">
        <f t="shared" ref="AI76:AI87" si="98">SUM(Y65:Y76)</f>
        <v>8427</v>
      </c>
      <c r="AJ76" s="3">
        <f t="shared" ref="AJ76:AJ87" si="99">SUM(Z65:Z76)</f>
        <v>160054</v>
      </c>
      <c r="AK76" s="1">
        <v>43009</v>
      </c>
      <c r="AL76" s="3">
        <f t="shared" si="84"/>
        <v>509</v>
      </c>
      <c r="AM76" s="3">
        <f t="shared" si="84"/>
        <v>190</v>
      </c>
      <c r="AN76" s="3">
        <f t="shared" si="36"/>
        <v>699</v>
      </c>
      <c r="AO76" s="34">
        <f>Y76/(AN76+Y76)</f>
        <v>0.45219435736677116</v>
      </c>
      <c r="AQ76" s="1">
        <f t="shared" si="38"/>
        <v>43009</v>
      </c>
      <c r="AR76" s="53">
        <f t="shared" si="39"/>
        <v>21</v>
      </c>
    </row>
    <row r="77" spans="1:44">
      <c r="A77" s="1">
        <v>43040</v>
      </c>
      <c r="B77" s="3">
        <v>27</v>
      </c>
      <c r="C77">
        <v>25915</v>
      </c>
      <c r="D77">
        <v>20660</v>
      </c>
      <c r="G77">
        <f t="shared" si="66"/>
        <v>32255</v>
      </c>
      <c r="H77">
        <f t="shared" si="67"/>
        <v>620812</v>
      </c>
      <c r="I77">
        <f t="shared" si="68"/>
        <v>584357</v>
      </c>
      <c r="J77" s="1">
        <v>43040</v>
      </c>
      <c r="K77" s="3">
        <v>1186</v>
      </c>
      <c r="L77" s="3">
        <v>617</v>
      </c>
      <c r="M77" s="3">
        <f t="shared" si="78"/>
        <v>1803</v>
      </c>
      <c r="N77" s="3">
        <f t="shared" si="79"/>
        <v>1424.6666666666667</v>
      </c>
      <c r="O77" s="3">
        <f t="shared" si="15"/>
        <v>1433.9444444444443</v>
      </c>
      <c r="P77">
        <f t="shared" si="80"/>
        <v>79083</v>
      </c>
      <c r="Q77" s="4">
        <f t="shared" si="81"/>
        <v>7.3891607551559755</v>
      </c>
      <c r="R77" s="17">
        <f t="shared" si="82"/>
        <v>17217</v>
      </c>
      <c r="S77" s="6" t="s">
        <v>19</v>
      </c>
      <c r="T77" s="97">
        <f t="shared" si="83"/>
        <v>11.458679977814754</v>
      </c>
      <c r="V77" s="81">
        <v>432</v>
      </c>
      <c r="W77" s="81">
        <v>580</v>
      </c>
      <c r="X77" s="81">
        <v>358</v>
      </c>
      <c r="Y77" s="5">
        <f t="shared" si="87"/>
        <v>938</v>
      </c>
      <c r="Z77" s="83">
        <f>V77*49</f>
        <v>21168</v>
      </c>
      <c r="AA77" s="38">
        <f t="shared" si="90"/>
        <v>8833</v>
      </c>
      <c r="AB77">
        <f t="shared" si="91"/>
        <v>12365</v>
      </c>
      <c r="AC77">
        <f t="shared" si="92"/>
        <v>7320</v>
      </c>
      <c r="AD77">
        <f t="shared" si="93"/>
        <v>19685</v>
      </c>
      <c r="AE77" s="39">
        <f t="shared" si="94"/>
        <v>2.2285746631948373</v>
      </c>
      <c r="AF77" s="3">
        <f t="shared" si="95"/>
        <v>3894</v>
      </c>
      <c r="AG77" s="3">
        <f t="shared" si="96"/>
        <v>5331</v>
      </c>
      <c r="AH77" s="3">
        <f t="shared" si="97"/>
        <v>3024</v>
      </c>
      <c r="AI77" s="3">
        <f t="shared" si="98"/>
        <v>8355</v>
      </c>
      <c r="AJ77" s="3">
        <f t="shared" si="99"/>
        <v>156967</v>
      </c>
      <c r="AK77" s="1">
        <v>43040</v>
      </c>
      <c r="AL77" s="3">
        <f t="shared" ref="AL77:AL88" si="100">K77-W77</f>
        <v>606</v>
      </c>
      <c r="AM77" s="3">
        <f t="shared" ref="AM77:AM88" si="101">L77-X77</f>
        <v>259</v>
      </c>
      <c r="AN77" s="3">
        <f t="shared" si="36"/>
        <v>865</v>
      </c>
      <c r="AO77" s="34">
        <f t="shared" ref="AO77:AO94" si="102">Y77/(AN77+Y77)</f>
        <v>0.52024403771491956</v>
      </c>
      <c r="AQ77" s="1">
        <f t="shared" si="38"/>
        <v>43040</v>
      </c>
      <c r="AR77" s="53">
        <f t="shared" si="39"/>
        <v>4</v>
      </c>
    </row>
    <row r="78" spans="1:44">
      <c r="A78" s="1">
        <v>43070</v>
      </c>
      <c r="B78" s="3">
        <v>27</v>
      </c>
      <c r="C78">
        <v>23686</v>
      </c>
      <c r="D78">
        <v>15583</v>
      </c>
      <c r="E78" s="48">
        <f>SUM(C67:C78)</f>
        <v>150563</v>
      </c>
      <c r="F78">
        <f>SUM(D67:D78)</f>
        <v>135903</v>
      </c>
      <c r="G78">
        <f t="shared" si="66"/>
        <v>40358</v>
      </c>
      <c r="H78">
        <f t="shared" si="67"/>
        <v>644498</v>
      </c>
      <c r="I78">
        <f t="shared" si="68"/>
        <v>599940</v>
      </c>
      <c r="J78" s="1">
        <v>43070</v>
      </c>
      <c r="K78" s="3">
        <v>1221</v>
      </c>
      <c r="L78" s="3">
        <v>806</v>
      </c>
      <c r="M78" s="3">
        <f t="shared" si="78"/>
        <v>2027</v>
      </c>
      <c r="N78" s="3">
        <f t="shared" si="79"/>
        <v>1702</v>
      </c>
      <c r="O78" s="3">
        <f t="shared" si="15"/>
        <v>1443.2222222222219</v>
      </c>
      <c r="P78">
        <f t="shared" si="80"/>
        <v>81110</v>
      </c>
      <c r="Q78" s="4">
        <f t="shared" si="81"/>
        <v>7.3966218715324867</v>
      </c>
      <c r="R78" s="49">
        <f t="shared" si="82"/>
        <v>17526</v>
      </c>
      <c r="S78" s="23">
        <v>2017</v>
      </c>
      <c r="T78" s="97">
        <f t="shared" si="83"/>
        <v>7.6877158362111491</v>
      </c>
      <c r="V78" s="81">
        <v>455</v>
      </c>
      <c r="W78" s="81">
        <v>646</v>
      </c>
      <c r="X78" s="81">
        <v>412</v>
      </c>
      <c r="Y78" s="5">
        <f t="shared" si="87"/>
        <v>1058</v>
      </c>
      <c r="Z78" s="83">
        <f>V78*49</f>
        <v>22295</v>
      </c>
      <c r="AA78" s="38">
        <f t="shared" si="90"/>
        <v>9288</v>
      </c>
      <c r="AB78">
        <f t="shared" si="91"/>
        <v>13011</v>
      </c>
      <c r="AC78">
        <f t="shared" si="92"/>
        <v>7732</v>
      </c>
      <c r="AD78">
        <f t="shared" si="93"/>
        <v>20743</v>
      </c>
      <c r="AE78" s="39">
        <f t="shared" si="94"/>
        <v>2.2333118001722654</v>
      </c>
      <c r="AF78" s="3">
        <f t="shared" si="95"/>
        <v>3943</v>
      </c>
      <c r="AG78" s="3">
        <f t="shared" si="96"/>
        <v>5391</v>
      </c>
      <c r="AH78" s="3">
        <f t="shared" si="97"/>
        <v>3105</v>
      </c>
      <c r="AI78" s="3">
        <f t="shared" si="98"/>
        <v>8496</v>
      </c>
      <c r="AJ78" s="3">
        <f t="shared" si="99"/>
        <v>159368</v>
      </c>
      <c r="AK78" s="1">
        <v>43070</v>
      </c>
      <c r="AL78" s="3">
        <f t="shared" si="100"/>
        <v>575</v>
      </c>
      <c r="AM78" s="3">
        <f t="shared" si="101"/>
        <v>394</v>
      </c>
      <c r="AN78" s="3">
        <f t="shared" si="36"/>
        <v>969</v>
      </c>
      <c r="AO78" s="34">
        <f t="shared" si="102"/>
        <v>0.52195362604834727</v>
      </c>
      <c r="AQ78" s="1">
        <f t="shared" si="38"/>
        <v>43070</v>
      </c>
      <c r="AR78" s="53">
        <f t="shared" si="39"/>
        <v>309</v>
      </c>
    </row>
    <row r="79" spans="1:44">
      <c r="A79" s="1">
        <v>43101</v>
      </c>
      <c r="B79" s="3">
        <v>27</v>
      </c>
      <c r="C79">
        <v>11151</v>
      </c>
      <c r="D79">
        <v>12436</v>
      </c>
      <c r="G79">
        <f t="shared" si="66"/>
        <v>39073</v>
      </c>
      <c r="H79">
        <f t="shared" si="67"/>
        <v>655649</v>
      </c>
      <c r="I79">
        <f t="shared" si="68"/>
        <v>612376</v>
      </c>
      <c r="J79" s="1">
        <v>43101</v>
      </c>
      <c r="K79">
        <v>1032</v>
      </c>
      <c r="L79">
        <v>530</v>
      </c>
      <c r="M79" s="3">
        <f t="shared" si="78"/>
        <v>1562</v>
      </c>
      <c r="N79" s="3">
        <f t="shared" si="79"/>
        <v>1797.3333333333333</v>
      </c>
      <c r="O79" s="3">
        <f t="shared" si="15"/>
        <v>1449.9444444444443</v>
      </c>
      <c r="P79">
        <f t="shared" si="80"/>
        <v>82672</v>
      </c>
      <c r="Q79" s="4">
        <f t="shared" si="81"/>
        <v>7.4072963034642925</v>
      </c>
      <c r="R79" s="17">
        <f t="shared" si="82"/>
        <v>17455</v>
      </c>
      <c r="S79" s="6" t="s">
        <v>19</v>
      </c>
      <c r="T79" s="97">
        <f t="shared" si="83"/>
        <v>7.9615877080665811</v>
      </c>
      <c r="V79" s="81">
        <v>420</v>
      </c>
      <c r="W79" s="81">
        <v>569</v>
      </c>
      <c r="X79" s="81">
        <v>345</v>
      </c>
      <c r="Y79" s="5">
        <f t="shared" si="87"/>
        <v>914</v>
      </c>
      <c r="Z79" s="83">
        <f>V79*49</f>
        <v>20580</v>
      </c>
      <c r="AA79" s="38">
        <f t="shared" si="90"/>
        <v>9708</v>
      </c>
      <c r="AB79">
        <f t="shared" si="91"/>
        <v>13580</v>
      </c>
      <c r="AC79">
        <f t="shared" si="92"/>
        <v>8077</v>
      </c>
      <c r="AD79">
        <f t="shared" si="93"/>
        <v>21657</v>
      </c>
      <c r="AE79" s="39">
        <f t="shared" si="94"/>
        <v>2.2308405438813348</v>
      </c>
      <c r="AF79" s="3">
        <f t="shared" si="95"/>
        <v>3912</v>
      </c>
      <c r="AG79" s="3">
        <f t="shared" si="96"/>
        <v>5335</v>
      </c>
      <c r="AH79" s="3">
        <f t="shared" si="97"/>
        <v>3146</v>
      </c>
      <c r="AI79" s="3">
        <f t="shared" si="98"/>
        <v>8481</v>
      </c>
      <c r="AJ79" s="3">
        <f t="shared" si="99"/>
        <v>157849</v>
      </c>
      <c r="AK79" s="1">
        <v>43101</v>
      </c>
      <c r="AL79" s="3">
        <f t="shared" si="100"/>
        <v>463</v>
      </c>
      <c r="AM79" s="3">
        <f t="shared" si="101"/>
        <v>185</v>
      </c>
      <c r="AN79" s="3">
        <f t="shared" si="36"/>
        <v>648</v>
      </c>
      <c r="AO79" s="34">
        <f t="shared" si="102"/>
        <v>0.58514724711907806</v>
      </c>
      <c r="AQ79" s="1">
        <f t="shared" ref="AQ79:AQ112" si="103">A79</f>
        <v>43101</v>
      </c>
      <c r="AR79" s="53">
        <f t="shared" ref="AR79:AR110" si="104">M79-M67</f>
        <v>-71</v>
      </c>
    </row>
    <row r="80" spans="1:44">
      <c r="A80" s="1">
        <v>43132</v>
      </c>
      <c r="B80" s="3">
        <v>27</v>
      </c>
      <c r="C80">
        <v>6928</v>
      </c>
      <c r="D80">
        <v>8183</v>
      </c>
      <c r="G80">
        <f t="shared" si="66"/>
        <v>37818</v>
      </c>
      <c r="H80">
        <f t="shared" si="67"/>
        <v>662577</v>
      </c>
      <c r="I80">
        <f t="shared" si="68"/>
        <v>620559</v>
      </c>
      <c r="J80" s="1">
        <v>43132</v>
      </c>
      <c r="K80" s="3">
        <v>987</v>
      </c>
      <c r="L80" s="3">
        <v>505</v>
      </c>
      <c r="M80" s="3">
        <f t="shared" si="78"/>
        <v>1492</v>
      </c>
      <c r="N80" s="3">
        <f t="shared" si="79"/>
        <v>1693.6666666666667</v>
      </c>
      <c r="O80" s="3">
        <f t="shared" si="15"/>
        <v>1454.3333333333333</v>
      </c>
      <c r="P80">
        <f t="shared" si="80"/>
        <v>84164</v>
      </c>
      <c r="Q80" s="4">
        <f t="shared" si="81"/>
        <v>7.3732118245330547</v>
      </c>
      <c r="R80" s="17">
        <f t="shared" si="82"/>
        <v>17375</v>
      </c>
      <c r="S80" s="6" t="s">
        <v>19</v>
      </c>
      <c r="T80" s="97">
        <f t="shared" si="83"/>
        <v>5.4845844504021448</v>
      </c>
      <c r="V80" s="81">
        <v>370</v>
      </c>
      <c r="W80" s="81">
        <v>502</v>
      </c>
      <c r="X80" s="81">
        <v>306</v>
      </c>
      <c r="Y80" s="5">
        <f t="shared" si="87"/>
        <v>808</v>
      </c>
      <c r="Z80" s="83">
        <f>V80*49</f>
        <v>18130</v>
      </c>
      <c r="AA80" s="38">
        <f t="shared" si="90"/>
        <v>10078</v>
      </c>
      <c r="AB80">
        <f t="shared" si="91"/>
        <v>14082</v>
      </c>
      <c r="AC80">
        <f t="shared" si="92"/>
        <v>8383</v>
      </c>
      <c r="AD80">
        <f t="shared" si="93"/>
        <v>22465</v>
      </c>
      <c r="AE80" s="39">
        <f t="shared" si="94"/>
        <v>2.2291129192300061</v>
      </c>
      <c r="AF80" s="3">
        <f t="shared" si="95"/>
        <v>3873</v>
      </c>
      <c r="AG80" s="3">
        <f t="shared" si="96"/>
        <v>5257</v>
      </c>
      <c r="AH80" s="3">
        <f t="shared" si="97"/>
        <v>3121</v>
      </c>
      <c r="AI80" s="3">
        <f t="shared" si="98"/>
        <v>8378</v>
      </c>
      <c r="AJ80" s="3">
        <f t="shared" si="99"/>
        <v>155938</v>
      </c>
      <c r="AK80" s="1">
        <v>43132</v>
      </c>
      <c r="AL80" s="3">
        <f t="shared" si="100"/>
        <v>485</v>
      </c>
      <c r="AM80" s="3">
        <f t="shared" si="101"/>
        <v>199</v>
      </c>
      <c r="AN80" s="3">
        <f t="shared" si="36"/>
        <v>684</v>
      </c>
      <c r="AO80" s="34">
        <f t="shared" si="102"/>
        <v>0.54155495978552282</v>
      </c>
      <c r="AQ80" s="1">
        <f t="shared" si="103"/>
        <v>43132</v>
      </c>
      <c r="AR80" s="53">
        <f t="shared" si="104"/>
        <v>-80</v>
      </c>
    </row>
    <row r="81" spans="1:44">
      <c r="A81" s="1">
        <v>43160</v>
      </c>
      <c r="B81" s="3">
        <v>27</v>
      </c>
      <c r="C81">
        <v>7969</v>
      </c>
      <c r="D81">
        <v>12647</v>
      </c>
      <c r="E81">
        <f>SUM(C70:C81)</f>
        <v>152759</v>
      </c>
      <c r="F81">
        <f>SUM(D70:D81)</f>
        <v>137665</v>
      </c>
      <c r="G81">
        <f t="shared" si="66"/>
        <v>33140</v>
      </c>
      <c r="H81">
        <f t="shared" si="67"/>
        <v>670546</v>
      </c>
      <c r="I81">
        <f t="shared" si="68"/>
        <v>633206</v>
      </c>
      <c r="J81" s="1">
        <v>43160</v>
      </c>
      <c r="K81" s="3">
        <v>1079</v>
      </c>
      <c r="L81" s="3">
        <v>642</v>
      </c>
      <c r="M81" s="3">
        <f t="shared" si="78"/>
        <v>1721</v>
      </c>
      <c r="N81" s="3">
        <f t="shared" si="79"/>
        <v>1591.6666666666667</v>
      </c>
      <c r="O81" s="3">
        <f t="shared" si="15"/>
        <v>1448.4722222222224</v>
      </c>
      <c r="P81">
        <f t="shared" si="80"/>
        <v>85885</v>
      </c>
      <c r="Q81" s="4">
        <f t="shared" si="81"/>
        <v>7.3727193339931301</v>
      </c>
      <c r="R81" s="41">
        <f t="shared" si="82"/>
        <v>17315</v>
      </c>
      <c r="S81" s="21" t="s">
        <v>50</v>
      </c>
      <c r="T81" s="97">
        <f t="shared" si="83"/>
        <v>7.3486345148169665</v>
      </c>
      <c r="V81" s="81">
        <v>401</v>
      </c>
      <c r="W81" s="81">
        <v>570</v>
      </c>
      <c r="X81" s="81">
        <v>361</v>
      </c>
      <c r="Y81" s="5">
        <f t="shared" si="87"/>
        <v>931</v>
      </c>
      <c r="Z81" s="83">
        <f>V81*49</f>
        <v>19649</v>
      </c>
      <c r="AA81" s="38">
        <f t="shared" si="90"/>
        <v>10479</v>
      </c>
      <c r="AB81">
        <f t="shared" si="91"/>
        <v>14652</v>
      </c>
      <c r="AC81">
        <f t="shared" si="92"/>
        <v>8744</v>
      </c>
      <c r="AD81">
        <f t="shared" si="93"/>
        <v>23396</v>
      </c>
      <c r="AE81" s="39">
        <f t="shared" si="94"/>
        <v>2.2326557877660083</v>
      </c>
      <c r="AF81" s="3">
        <f t="shared" si="95"/>
        <v>3859</v>
      </c>
      <c r="AG81" s="3">
        <f t="shared" si="96"/>
        <v>5285</v>
      </c>
      <c r="AH81" s="3">
        <f t="shared" si="97"/>
        <v>3157</v>
      </c>
      <c r="AI81" s="3">
        <f t="shared" si="98"/>
        <v>8442</v>
      </c>
      <c r="AJ81" s="3">
        <f t="shared" si="99"/>
        <v>155252</v>
      </c>
      <c r="AK81" s="1">
        <v>43160</v>
      </c>
      <c r="AL81" s="3">
        <f t="shared" si="100"/>
        <v>509</v>
      </c>
      <c r="AM81" s="3">
        <f t="shared" si="101"/>
        <v>281</v>
      </c>
      <c r="AN81" s="3">
        <f t="shared" si="36"/>
        <v>790</v>
      </c>
      <c r="AO81" s="34">
        <f t="shared" si="102"/>
        <v>0.54096455549099365</v>
      </c>
      <c r="AQ81" s="1">
        <f t="shared" si="103"/>
        <v>43160</v>
      </c>
      <c r="AR81" s="53">
        <f t="shared" si="104"/>
        <v>-60</v>
      </c>
    </row>
    <row r="82" spans="1:44">
      <c r="A82" s="1">
        <v>43191</v>
      </c>
      <c r="B82" s="3">
        <v>27</v>
      </c>
      <c r="C82">
        <v>7043</v>
      </c>
      <c r="D82">
        <v>9951</v>
      </c>
      <c r="G82">
        <f t="shared" si="66"/>
        <v>30232</v>
      </c>
      <c r="H82">
        <f t="shared" si="67"/>
        <v>677589</v>
      </c>
      <c r="I82">
        <f t="shared" si="68"/>
        <v>643157</v>
      </c>
      <c r="J82" s="1">
        <v>43191</v>
      </c>
      <c r="K82" s="3">
        <v>913</v>
      </c>
      <c r="L82" s="3">
        <v>451</v>
      </c>
      <c r="M82" s="3">
        <f t="shared" si="78"/>
        <v>1364</v>
      </c>
      <c r="N82" s="3">
        <f t="shared" si="79"/>
        <v>1525.6666666666667</v>
      </c>
      <c r="O82" s="3">
        <f t="shared" si="15"/>
        <v>1449</v>
      </c>
      <c r="P82">
        <f t="shared" si="80"/>
        <v>87249</v>
      </c>
      <c r="Q82" s="4">
        <f t="shared" si="81"/>
        <v>7.3715114213343416</v>
      </c>
      <c r="R82" s="17">
        <f t="shared" si="82"/>
        <v>17474</v>
      </c>
      <c r="S82" s="6" t="s">
        <v>19</v>
      </c>
      <c r="T82" s="97">
        <f t="shared" si="83"/>
        <v>7.2954545454545459</v>
      </c>
      <c r="V82" s="81">
        <v>279</v>
      </c>
      <c r="W82" s="81">
        <v>382</v>
      </c>
      <c r="X82" s="81">
        <v>251</v>
      </c>
      <c r="Y82" s="5">
        <f t="shared" si="87"/>
        <v>633</v>
      </c>
      <c r="Z82" s="83">
        <f t="shared" ref="Z82:Z87" si="105">V82*30</f>
        <v>8370</v>
      </c>
      <c r="AA82" s="38">
        <f t="shared" si="90"/>
        <v>10758</v>
      </c>
      <c r="AB82">
        <f t="shared" si="91"/>
        <v>15034</v>
      </c>
      <c r="AC82">
        <f t="shared" si="92"/>
        <v>8995</v>
      </c>
      <c r="AD82">
        <f t="shared" si="93"/>
        <v>24029</v>
      </c>
      <c r="AE82" s="39">
        <f t="shared" si="94"/>
        <v>2.2335936047592488</v>
      </c>
      <c r="AF82" s="3">
        <f t="shared" si="95"/>
        <v>3870</v>
      </c>
      <c r="AG82" s="3">
        <f t="shared" si="96"/>
        <v>5312</v>
      </c>
      <c r="AH82" s="3">
        <f t="shared" si="97"/>
        <v>3223</v>
      </c>
      <c r="AI82" s="3">
        <f t="shared" si="98"/>
        <v>8535</v>
      </c>
      <c r="AJ82" s="3">
        <f t="shared" si="99"/>
        <v>155582</v>
      </c>
      <c r="AK82" s="1">
        <v>43191</v>
      </c>
      <c r="AL82" s="3">
        <f t="shared" si="100"/>
        <v>531</v>
      </c>
      <c r="AM82" s="3">
        <f t="shared" si="101"/>
        <v>200</v>
      </c>
      <c r="AN82" s="3">
        <f t="shared" si="36"/>
        <v>731</v>
      </c>
      <c r="AO82" s="34">
        <f t="shared" si="102"/>
        <v>0.46407624633431083</v>
      </c>
      <c r="AQ82" s="1">
        <f t="shared" si="103"/>
        <v>43191</v>
      </c>
      <c r="AR82" s="53">
        <f t="shared" si="104"/>
        <v>159</v>
      </c>
    </row>
    <row r="83" spans="1:44">
      <c r="A83" s="1">
        <v>43221</v>
      </c>
      <c r="B83" s="3">
        <v>27</v>
      </c>
      <c r="C83">
        <v>7206</v>
      </c>
      <c r="D83">
        <v>9771</v>
      </c>
      <c r="G83">
        <f t="shared" si="66"/>
        <v>27667</v>
      </c>
      <c r="H83">
        <f t="shared" si="67"/>
        <v>684795</v>
      </c>
      <c r="I83">
        <f t="shared" si="68"/>
        <v>652928</v>
      </c>
      <c r="J83" s="1">
        <v>43221</v>
      </c>
      <c r="K83" s="3">
        <v>875</v>
      </c>
      <c r="L83" s="3">
        <v>427</v>
      </c>
      <c r="M83" s="3">
        <f t="shared" si="78"/>
        <v>1302</v>
      </c>
      <c r="N83" s="3">
        <f t="shared" si="79"/>
        <v>1462.3333333333333</v>
      </c>
      <c r="O83" s="3">
        <f t="shared" si="15"/>
        <v>1453.4166666666667</v>
      </c>
      <c r="P83">
        <f t="shared" si="80"/>
        <v>88551</v>
      </c>
      <c r="Q83" s="4">
        <f t="shared" si="81"/>
        <v>7.37346839674312</v>
      </c>
      <c r="R83" s="17">
        <f t="shared" si="82"/>
        <v>17534</v>
      </c>
      <c r="S83" s="6" t="s">
        <v>19</v>
      </c>
      <c r="T83" s="97">
        <f t="shared" si="83"/>
        <v>7.5046082949308754</v>
      </c>
      <c r="V83" s="81">
        <v>211</v>
      </c>
      <c r="W83" s="81">
        <v>293</v>
      </c>
      <c r="X83" s="81">
        <v>158</v>
      </c>
      <c r="Y83" s="5">
        <f t="shared" si="87"/>
        <v>451</v>
      </c>
      <c r="Z83" s="83">
        <f t="shared" si="105"/>
        <v>6330</v>
      </c>
      <c r="AA83" s="38">
        <f t="shared" si="90"/>
        <v>10969</v>
      </c>
      <c r="AB83">
        <f t="shared" si="91"/>
        <v>15327</v>
      </c>
      <c r="AC83">
        <f t="shared" si="92"/>
        <v>9153</v>
      </c>
      <c r="AD83">
        <f t="shared" si="93"/>
        <v>24480</v>
      </c>
      <c r="AE83" s="39">
        <f t="shared" si="94"/>
        <v>2.2317440058346247</v>
      </c>
      <c r="AF83" s="3">
        <f t="shared" si="95"/>
        <v>3832</v>
      </c>
      <c r="AG83" s="3">
        <f t="shared" si="96"/>
        <v>5269</v>
      </c>
      <c r="AH83" s="3">
        <f t="shared" si="97"/>
        <v>3193</v>
      </c>
      <c r="AI83" s="3">
        <f t="shared" si="98"/>
        <v>8462</v>
      </c>
      <c r="AJ83" s="3">
        <f t="shared" si="99"/>
        <v>154442</v>
      </c>
      <c r="AK83" s="1">
        <v>43221</v>
      </c>
      <c r="AL83" s="3">
        <f t="shared" si="100"/>
        <v>582</v>
      </c>
      <c r="AM83" s="3">
        <f t="shared" si="101"/>
        <v>269</v>
      </c>
      <c r="AN83" s="3">
        <f t="shared" si="36"/>
        <v>851</v>
      </c>
      <c r="AO83" s="34">
        <f t="shared" si="102"/>
        <v>0.34639016897081415</v>
      </c>
      <c r="AQ83" s="1">
        <f t="shared" si="103"/>
        <v>43221</v>
      </c>
      <c r="AR83" s="53">
        <f t="shared" si="104"/>
        <v>60</v>
      </c>
    </row>
    <row r="84" spans="1:44">
      <c r="A84" s="1">
        <v>43252</v>
      </c>
      <c r="B84" s="3">
        <v>27</v>
      </c>
      <c r="C84">
        <v>6552</v>
      </c>
      <c r="D84">
        <f>10181+85</f>
        <v>10266</v>
      </c>
      <c r="G84">
        <f t="shared" si="66"/>
        <v>23953</v>
      </c>
      <c r="H84">
        <f t="shared" si="67"/>
        <v>691347</v>
      </c>
      <c r="I84">
        <f t="shared" si="68"/>
        <v>663194</v>
      </c>
      <c r="J84" s="1">
        <v>43252</v>
      </c>
      <c r="K84" s="3">
        <v>848</v>
      </c>
      <c r="L84" s="3">
        <v>353</v>
      </c>
      <c r="M84" s="3">
        <f t="shared" si="78"/>
        <v>1201</v>
      </c>
      <c r="N84" s="3">
        <f t="shared" si="79"/>
        <v>1289</v>
      </c>
      <c r="O84" s="3">
        <f t="shared" si="15"/>
        <v>1456.8888888888887</v>
      </c>
      <c r="P84">
        <f t="shared" si="80"/>
        <v>89752</v>
      </c>
      <c r="Q84" s="4">
        <f t="shared" si="81"/>
        <v>7.3891835279436666</v>
      </c>
      <c r="R84" s="17">
        <f t="shared" si="82"/>
        <v>17440</v>
      </c>
      <c r="S84" s="6" t="s">
        <v>19</v>
      </c>
      <c r="T84" s="97">
        <f t="shared" si="83"/>
        <v>8.5478767693588669</v>
      </c>
      <c r="V84" s="81">
        <v>202</v>
      </c>
      <c r="W84" s="81">
        <v>263</v>
      </c>
      <c r="X84" s="81">
        <v>128</v>
      </c>
      <c r="Y84" s="5">
        <f t="shared" si="87"/>
        <v>391</v>
      </c>
      <c r="Z84" s="83">
        <f t="shared" si="105"/>
        <v>6060</v>
      </c>
      <c r="AA84" s="38">
        <f t="shared" si="90"/>
        <v>11171</v>
      </c>
      <c r="AB84">
        <f t="shared" si="91"/>
        <v>15590</v>
      </c>
      <c r="AC84">
        <f t="shared" si="92"/>
        <v>9281</v>
      </c>
      <c r="AD84">
        <f t="shared" si="93"/>
        <v>24871</v>
      </c>
      <c r="AE84" s="39">
        <f t="shared" si="94"/>
        <v>2.2263897591979234</v>
      </c>
      <c r="AF84" s="3">
        <f t="shared" si="95"/>
        <v>3792</v>
      </c>
      <c r="AG84" s="3">
        <f t="shared" si="96"/>
        <v>5198</v>
      </c>
      <c r="AH84" s="3">
        <f t="shared" si="97"/>
        <v>3126</v>
      </c>
      <c r="AI84" s="3">
        <f t="shared" si="98"/>
        <v>8324</v>
      </c>
      <c r="AJ84" s="3">
        <f t="shared" si="99"/>
        <v>153242</v>
      </c>
      <c r="AK84" s="1">
        <v>43252</v>
      </c>
      <c r="AL84" s="3">
        <f t="shared" si="100"/>
        <v>585</v>
      </c>
      <c r="AM84" s="3">
        <f t="shared" si="101"/>
        <v>225</v>
      </c>
      <c r="AN84" s="3">
        <f t="shared" si="36"/>
        <v>810</v>
      </c>
      <c r="AO84" s="34">
        <f t="shared" si="102"/>
        <v>0.32556203164029973</v>
      </c>
      <c r="AQ84" s="1">
        <f t="shared" si="103"/>
        <v>43252</v>
      </c>
      <c r="AR84" s="53">
        <f t="shared" si="104"/>
        <v>-94</v>
      </c>
    </row>
    <row r="85" spans="1:44">
      <c r="A85" s="1">
        <v>43282</v>
      </c>
      <c r="B85" s="3">
        <v>27</v>
      </c>
      <c r="C85">
        <v>12520</v>
      </c>
      <c r="D85">
        <v>11672</v>
      </c>
      <c r="G85">
        <f t="shared" si="66"/>
        <v>24801</v>
      </c>
      <c r="H85">
        <f t="shared" si="67"/>
        <v>703867</v>
      </c>
      <c r="I85">
        <f t="shared" si="68"/>
        <v>674866</v>
      </c>
      <c r="J85" s="1">
        <v>43282</v>
      </c>
      <c r="K85" s="3">
        <v>771</v>
      </c>
      <c r="L85" s="3">
        <v>422</v>
      </c>
      <c r="M85" s="3">
        <f t="shared" si="78"/>
        <v>1193</v>
      </c>
      <c r="N85" s="3">
        <f t="shared" si="79"/>
        <v>1232</v>
      </c>
      <c r="O85" s="3">
        <f t="shared" si="15"/>
        <v>1454.75</v>
      </c>
      <c r="P85">
        <f t="shared" si="80"/>
        <v>90945</v>
      </c>
      <c r="Q85" s="4">
        <f t="shared" si="81"/>
        <v>7.4205948650283142</v>
      </c>
      <c r="R85" s="17">
        <f t="shared" si="82"/>
        <v>17397</v>
      </c>
      <c r="S85" s="6" t="s">
        <v>19</v>
      </c>
      <c r="T85" s="97">
        <f t="shared" si="83"/>
        <v>9.7837384744342</v>
      </c>
      <c r="V85" s="81">
        <v>173</v>
      </c>
      <c r="W85" s="81">
        <v>235</v>
      </c>
      <c r="X85" s="81">
        <v>159</v>
      </c>
      <c r="Y85" s="5">
        <f t="shared" si="87"/>
        <v>394</v>
      </c>
      <c r="Z85" s="83">
        <f t="shared" si="105"/>
        <v>5190</v>
      </c>
      <c r="AA85" s="38">
        <f t="shared" si="90"/>
        <v>11344</v>
      </c>
      <c r="AB85">
        <f t="shared" si="91"/>
        <v>15825</v>
      </c>
      <c r="AC85">
        <f t="shared" si="92"/>
        <v>9440</v>
      </c>
      <c r="AD85">
        <f t="shared" si="93"/>
        <v>25265</v>
      </c>
      <c r="AE85" s="39">
        <f t="shared" si="94"/>
        <v>2.2271685472496472</v>
      </c>
      <c r="AF85" s="3">
        <f t="shared" si="95"/>
        <v>3731</v>
      </c>
      <c r="AG85" s="3">
        <f t="shared" si="96"/>
        <v>5108</v>
      </c>
      <c r="AH85" s="3">
        <f t="shared" si="97"/>
        <v>3082</v>
      </c>
      <c r="AI85" s="3">
        <f t="shared" si="98"/>
        <v>8190</v>
      </c>
      <c r="AJ85" s="3">
        <f t="shared" si="99"/>
        <v>151412</v>
      </c>
      <c r="AK85" s="1">
        <v>43282</v>
      </c>
      <c r="AL85" s="3">
        <f t="shared" si="100"/>
        <v>536</v>
      </c>
      <c r="AM85" s="3">
        <f t="shared" si="101"/>
        <v>263</v>
      </c>
      <c r="AN85" s="3">
        <f t="shared" si="36"/>
        <v>799</v>
      </c>
      <c r="AO85" s="34">
        <f t="shared" si="102"/>
        <v>0.33025984911986589</v>
      </c>
      <c r="AQ85" s="1">
        <f t="shared" si="103"/>
        <v>43282</v>
      </c>
      <c r="AR85" s="53">
        <f t="shared" si="104"/>
        <v>-43</v>
      </c>
    </row>
    <row r="86" spans="1:44">
      <c r="A86" s="1">
        <v>43313</v>
      </c>
      <c r="B86" s="3">
        <v>27</v>
      </c>
      <c r="C86">
        <v>10533</v>
      </c>
      <c r="D86">
        <f>11340+98</f>
        <v>11438</v>
      </c>
      <c r="G86" s="71">
        <f>G85+C86-D86-1860</f>
        <v>22036</v>
      </c>
      <c r="H86">
        <f t="shared" si="67"/>
        <v>714400</v>
      </c>
      <c r="I86">
        <f t="shared" si="68"/>
        <v>686304</v>
      </c>
      <c r="J86" s="1">
        <v>43313</v>
      </c>
      <c r="K86" s="3">
        <v>938</v>
      </c>
      <c r="L86" s="3">
        <v>470</v>
      </c>
      <c r="M86" s="3">
        <f t="shared" si="78"/>
        <v>1408</v>
      </c>
      <c r="N86" s="3">
        <f t="shared" si="79"/>
        <v>1267.3333333333333</v>
      </c>
      <c r="O86" s="3">
        <f t="shared" ref="O86:O104" si="106">SUM(N75:N86)/12</f>
        <v>1455.0277777777776</v>
      </c>
      <c r="P86">
        <f t="shared" si="80"/>
        <v>92353</v>
      </c>
      <c r="Q86" s="4">
        <f t="shared" si="81"/>
        <v>7.4313124641321888</v>
      </c>
      <c r="R86" s="17">
        <f t="shared" si="82"/>
        <v>17544</v>
      </c>
      <c r="S86" s="6" t="s">
        <v>19</v>
      </c>
      <c r="T86" s="97">
        <f t="shared" si="83"/>
        <v>8.123579545454545</v>
      </c>
      <c r="V86" s="81">
        <v>230</v>
      </c>
      <c r="W86" s="81">
        <v>318</v>
      </c>
      <c r="X86" s="81">
        <v>199</v>
      </c>
      <c r="Y86" s="5">
        <f t="shared" si="87"/>
        <v>517</v>
      </c>
      <c r="Z86" s="83">
        <f t="shared" si="105"/>
        <v>6900</v>
      </c>
      <c r="AA86" s="38">
        <f t="shared" si="90"/>
        <v>11574</v>
      </c>
      <c r="AB86">
        <f t="shared" si="91"/>
        <v>16143</v>
      </c>
      <c r="AC86">
        <f t="shared" si="92"/>
        <v>9639</v>
      </c>
      <c r="AD86">
        <f t="shared" si="93"/>
        <v>25782</v>
      </c>
      <c r="AE86" s="39">
        <f t="shared" si="94"/>
        <v>2.2275790565059617</v>
      </c>
      <c r="AF86" s="3">
        <f t="shared" si="95"/>
        <v>3728</v>
      </c>
      <c r="AG86" s="3">
        <f t="shared" si="96"/>
        <v>5110</v>
      </c>
      <c r="AH86" s="3">
        <f t="shared" si="97"/>
        <v>3057</v>
      </c>
      <c r="AI86" s="3">
        <f t="shared" si="98"/>
        <v>8167</v>
      </c>
      <c r="AJ86" s="3">
        <f t="shared" si="99"/>
        <v>151322</v>
      </c>
      <c r="AK86" s="1">
        <v>43313</v>
      </c>
      <c r="AL86" s="3">
        <f t="shared" si="100"/>
        <v>620</v>
      </c>
      <c r="AM86" s="3">
        <f t="shared" si="101"/>
        <v>271</v>
      </c>
      <c r="AN86" s="3">
        <f t="shared" si="36"/>
        <v>891</v>
      </c>
      <c r="AO86" s="34">
        <f t="shared" si="102"/>
        <v>0.3671875</v>
      </c>
      <c r="AQ86" s="1">
        <f t="shared" si="103"/>
        <v>43313</v>
      </c>
      <c r="AR86" s="53">
        <f t="shared" si="104"/>
        <v>147</v>
      </c>
    </row>
    <row r="87" spans="1:44">
      <c r="A87" s="1">
        <v>43344</v>
      </c>
      <c r="B87" s="3">
        <v>28</v>
      </c>
      <c r="C87">
        <v>8257</v>
      </c>
      <c r="D87">
        <v>12540</v>
      </c>
      <c r="G87">
        <f t="shared" si="66"/>
        <v>17753</v>
      </c>
      <c r="H87">
        <f t="shared" si="67"/>
        <v>722657</v>
      </c>
      <c r="I87">
        <f t="shared" si="68"/>
        <v>698844</v>
      </c>
      <c r="J87" s="1">
        <v>43344</v>
      </c>
      <c r="K87" s="3">
        <v>999</v>
      </c>
      <c r="L87" s="3">
        <v>499</v>
      </c>
      <c r="M87" s="3">
        <f t="shared" si="78"/>
        <v>1498</v>
      </c>
      <c r="N87" s="3">
        <f t="shared" si="79"/>
        <v>1366.3333333333333</v>
      </c>
      <c r="O87" s="3">
        <f t="shared" si="106"/>
        <v>1466.3333333333333</v>
      </c>
      <c r="P87">
        <f t="shared" si="80"/>
        <v>93851</v>
      </c>
      <c r="Q87" s="4">
        <f t="shared" si="81"/>
        <v>7.446313837891978</v>
      </c>
      <c r="R87" s="17">
        <f t="shared" si="82"/>
        <v>17847</v>
      </c>
      <c r="S87" s="6" t="s">
        <v>19</v>
      </c>
      <c r="T87" s="97">
        <f t="shared" si="83"/>
        <v>8.3711615487316422</v>
      </c>
      <c r="V87" s="81">
        <v>256</v>
      </c>
      <c r="W87" s="81">
        <v>371</v>
      </c>
      <c r="X87" s="81">
        <v>201</v>
      </c>
      <c r="Y87" s="5">
        <f t="shared" si="87"/>
        <v>572</v>
      </c>
      <c r="Z87" s="83">
        <f t="shared" si="105"/>
        <v>7680</v>
      </c>
      <c r="AA87" s="38">
        <f t="shared" si="90"/>
        <v>11830</v>
      </c>
      <c r="AB87">
        <f t="shared" si="91"/>
        <v>16514</v>
      </c>
      <c r="AC87">
        <f t="shared" si="92"/>
        <v>9840</v>
      </c>
      <c r="AD87">
        <f t="shared" si="93"/>
        <v>26354</v>
      </c>
      <c r="AE87" s="39">
        <f t="shared" si="94"/>
        <v>2.2277261200338123</v>
      </c>
      <c r="AF87" s="3">
        <f t="shared" si="95"/>
        <v>3712</v>
      </c>
      <c r="AG87" s="3">
        <f t="shared" si="96"/>
        <v>5107</v>
      </c>
      <c r="AH87" s="3">
        <f t="shared" si="97"/>
        <v>3077</v>
      </c>
      <c r="AI87" s="3">
        <f t="shared" si="98"/>
        <v>8184</v>
      </c>
      <c r="AJ87" s="3">
        <f t="shared" si="99"/>
        <v>150842</v>
      </c>
      <c r="AK87" s="1">
        <v>43344</v>
      </c>
      <c r="AL87" s="3">
        <f t="shared" si="100"/>
        <v>628</v>
      </c>
      <c r="AM87" s="3">
        <f t="shared" si="101"/>
        <v>298</v>
      </c>
      <c r="AN87" s="3">
        <f t="shared" si="36"/>
        <v>926</v>
      </c>
      <c r="AO87" s="34">
        <f t="shared" si="102"/>
        <v>0.38184245660881178</v>
      </c>
      <c r="AQ87" s="1">
        <f t="shared" si="103"/>
        <v>43344</v>
      </c>
      <c r="AR87" s="53">
        <f t="shared" si="104"/>
        <v>303</v>
      </c>
    </row>
    <row r="88" spans="1:44">
      <c r="A88" s="1">
        <v>43374</v>
      </c>
      <c r="B88" s="3">
        <v>28</v>
      </c>
      <c r="C88">
        <v>20767</v>
      </c>
      <c r="D88">
        <v>16084</v>
      </c>
      <c r="G88">
        <f t="shared" si="66"/>
        <v>22436</v>
      </c>
      <c r="H88">
        <f t="shared" si="67"/>
        <v>743424</v>
      </c>
      <c r="I88">
        <f t="shared" si="68"/>
        <v>714928</v>
      </c>
      <c r="J88" s="1">
        <v>43374</v>
      </c>
      <c r="K88" s="3">
        <v>1148</v>
      </c>
      <c r="L88" s="3">
        <v>602</v>
      </c>
      <c r="M88" s="3">
        <f t="shared" si="78"/>
        <v>1750</v>
      </c>
      <c r="N88" s="3">
        <f t="shared" si="79"/>
        <v>1552</v>
      </c>
      <c r="O88" s="3">
        <f t="shared" si="106"/>
        <v>1492</v>
      </c>
      <c r="P88">
        <f t="shared" si="80"/>
        <v>95601</v>
      </c>
      <c r="Q88" s="4">
        <f t="shared" si="81"/>
        <v>7.4782481354797543</v>
      </c>
      <c r="R88" s="56">
        <f t="shared" si="82"/>
        <v>18321</v>
      </c>
      <c r="S88" s="25" t="s">
        <v>51</v>
      </c>
      <c r="T88" s="97">
        <f t="shared" si="83"/>
        <v>9.1908571428571424</v>
      </c>
      <c r="V88" s="81">
        <v>314</v>
      </c>
      <c r="W88" s="81">
        <v>440</v>
      </c>
      <c r="X88" s="81">
        <v>241</v>
      </c>
      <c r="Y88" s="5">
        <f t="shared" si="87"/>
        <v>681</v>
      </c>
      <c r="Z88" s="83">
        <f t="shared" ref="Z88:Z99" si="107">V88*30</f>
        <v>9420</v>
      </c>
      <c r="AA88" s="38">
        <f t="shared" ref="AA88:AA111" si="108">AA87+V88</f>
        <v>12144</v>
      </c>
      <c r="AB88">
        <f t="shared" ref="AB88:AB102" si="109">AB87+W88</f>
        <v>16954</v>
      </c>
      <c r="AC88">
        <f t="shared" ref="AC88:AC102" si="110">AC87+X88</f>
        <v>10081</v>
      </c>
      <c r="AD88">
        <f t="shared" ref="AD88:AD102" si="111">AD87+Y88</f>
        <v>27035</v>
      </c>
      <c r="AE88" s="39">
        <f t="shared" ref="AE88:AE93" si="112">AD88/AA88</f>
        <v>2.2262022397891963</v>
      </c>
      <c r="AF88" s="3">
        <f t="shared" ref="AF88:AJ93" si="113">SUM(V77:V88)</f>
        <v>3743</v>
      </c>
      <c r="AG88" s="3">
        <f t="shared" si="113"/>
        <v>5169</v>
      </c>
      <c r="AH88" s="3">
        <f t="shared" si="113"/>
        <v>3119</v>
      </c>
      <c r="AI88" s="3">
        <f t="shared" si="113"/>
        <v>8288</v>
      </c>
      <c r="AJ88" s="3">
        <f t="shared" si="113"/>
        <v>151772</v>
      </c>
      <c r="AK88" s="1">
        <v>43374</v>
      </c>
      <c r="AL88" s="3">
        <f t="shared" si="100"/>
        <v>708</v>
      </c>
      <c r="AM88" s="3">
        <f t="shared" si="101"/>
        <v>361</v>
      </c>
      <c r="AN88" s="3">
        <f t="shared" si="36"/>
        <v>1069</v>
      </c>
      <c r="AO88" s="34">
        <f t="shared" si="102"/>
        <v>0.38914285714285712</v>
      </c>
      <c r="AQ88" s="1">
        <f t="shared" si="103"/>
        <v>43374</v>
      </c>
      <c r="AR88" s="53">
        <f t="shared" si="104"/>
        <v>474</v>
      </c>
    </row>
    <row r="89" spans="1:44">
      <c r="A89" s="1">
        <v>43405</v>
      </c>
      <c r="B89" s="3">
        <v>28</v>
      </c>
      <c r="C89">
        <v>15502</v>
      </c>
      <c r="D89">
        <v>16128</v>
      </c>
      <c r="G89">
        <f t="shared" si="66"/>
        <v>21810</v>
      </c>
      <c r="H89">
        <f t="shared" si="67"/>
        <v>758926</v>
      </c>
      <c r="I89">
        <f t="shared" si="68"/>
        <v>731056</v>
      </c>
      <c r="J89" s="1">
        <v>43405</v>
      </c>
      <c r="K89" s="3">
        <v>1281</v>
      </c>
      <c r="L89" s="3">
        <v>687</v>
      </c>
      <c r="M89" s="3">
        <f t="shared" si="78"/>
        <v>1968</v>
      </c>
      <c r="N89" s="3">
        <f t="shared" si="79"/>
        <v>1738.6666666666667</v>
      </c>
      <c r="O89" s="3">
        <f t="shared" si="106"/>
        <v>1518.166666666667</v>
      </c>
      <c r="P89">
        <f t="shared" si="80"/>
        <v>97569</v>
      </c>
      <c r="Q89" s="4">
        <f t="shared" si="81"/>
        <v>7.4927077247896356</v>
      </c>
      <c r="R89" s="17">
        <f t="shared" si="82"/>
        <v>18486</v>
      </c>
      <c r="S89" s="6" t="s">
        <v>19</v>
      </c>
      <c r="T89" s="97">
        <f t="shared" si="83"/>
        <v>8.1951219512195124</v>
      </c>
      <c r="V89" s="81">
        <v>361</v>
      </c>
      <c r="W89" s="81">
        <v>497</v>
      </c>
      <c r="X89" s="81">
        <v>303</v>
      </c>
      <c r="Y89" s="5">
        <f t="shared" si="87"/>
        <v>800</v>
      </c>
      <c r="Z89" s="83">
        <f>V89*49</f>
        <v>17689</v>
      </c>
      <c r="AA89" s="38">
        <f t="shared" si="108"/>
        <v>12505</v>
      </c>
      <c r="AB89">
        <f t="shared" si="109"/>
        <v>17451</v>
      </c>
      <c r="AC89">
        <f t="shared" si="110"/>
        <v>10384</v>
      </c>
      <c r="AD89">
        <f t="shared" si="111"/>
        <v>27835</v>
      </c>
      <c r="AE89" s="39">
        <f t="shared" si="112"/>
        <v>2.2259096361455417</v>
      </c>
      <c r="AF89" s="3">
        <f t="shared" si="113"/>
        <v>3672</v>
      </c>
      <c r="AG89" s="3">
        <f t="shared" si="113"/>
        <v>5086</v>
      </c>
      <c r="AH89" s="3">
        <f t="shared" si="113"/>
        <v>3064</v>
      </c>
      <c r="AI89" s="3">
        <f t="shared" si="113"/>
        <v>8150</v>
      </c>
      <c r="AJ89" s="3">
        <f t="shared" si="113"/>
        <v>148293</v>
      </c>
      <c r="AK89" s="1">
        <v>43405</v>
      </c>
      <c r="AL89" s="3">
        <f t="shared" ref="AL89:AL94" si="114">K89-W89</f>
        <v>784</v>
      </c>
      <c r="AM89" s="3">
        <f t="shared" ref="AM89:AM94" si="115">L89-X89</f>
        <v>384</v>
      </c>
      <c r="AN89" s="3">
        <f t="shared" si="36"/>
        <v>1168</v>
      </c>
      <c r="AO89" s="34">
        <f t="shared" si="102"/>
        <v>0.4065040650406504</v>
      </c>
      <c r="AQ89" s="1">
        <f t="shared" si="103"/>
        <v>43405</v>
      </c>
      <c r="AR89" s="53">
        <f t="shared" si="104"/>
        <v>165</v>
      </c>
    </row>
    <row r="90" spans="1:44">
      <c r="A90" s="1">
        <v>43435</v>
      </c>
      <c r="B90" s="3">
        <v>28</v>
      </c>
      <c r="C90">
        <v>43476</v>
      </c>
      <c r="D90">
        <v>26040</v>
      </c>
      <c r="E90" s="48">
        <f>SUM(C79:C90)</f>
        <v>157904</v>
      </c>
      <c r="F90">
        <f>SUM(D79:D90)</f>
        <v>157156</v>
      </c>
      <c r="G90">
        <f t="shared" si="66"/>
        <v>39246</v>
      </c>
      <c r="H90">
        <f t="shared" si="67"/>
        <v>802402</v>
      </c>
      <c r="I90">
        <f t="shared" si="68"/>
        <v>757096</v>
      </c>
      <c r="J90" s="1">
        <v>43435</v>
      </c>
      <c r="K90" s="3">
        <v>1279</v>
      </c>
      <c r="L90" s="3">
        <v>938</v>
      </c>
      <c r="M90" s="50">
        <f t="shared" si="78"/>
        <v>2217</v>
      </c>
      <c r="N90" s="3">
        <f t="shared" si="79"/>
        <v>1978.3333333333333</v>
      </c>
      <c r="O90" s="3">
        <f t="shared" si="106"/>
        <v>1541.1944444444446</v>
      </c>
      <c r="P90">
        <f t="shared" si="80"/>
        <v>99786</v>
      </c>
      <c r="Q90" s="4">
        <f t="shared" si="81"/>
        <v>7.5871966007255525</v>
      </c>
      <c r="R90" s="49">
        <f t="shared" si="82"/>
        <v>18676</v>
      </c>
      <c r="S90" s="23">
        <v>2018</v>
      </c>
      <c r="T90" s="97">
        <f t="shared" si="83"/>
        <v>11.745602165087957</v>
      </c>
      <c r="V90" s="81">
        <v>336</v>
      </c>
      <c r="W90" s="81">
        <v>480</v>
      </c>
      <c r="X90" s="81">
        <v>319</v>
      </c>
      <c r="Y90" s="5">
        <f t="shared" si="87"/>
        <v>799</v>
      </c>
      <c r="Z90" s="83">
        <f>V90*49</f>
        <v>16464</v>
      </c>
      <c r="AA90" s="38">
        <f t="shared" si="108"/>
        <v>12841</v>
      </c>
      <c r="AB90">
        <f t="shared" si="109"/>
        <v>17931</v>
      </c>
      <c r="AC90">
        <f t="shared" si="110"/>
        <v>10703</v>
      </c>
      <c r="AD90">
        <f t="shared" si="111"/>
        <v>28634</v>
      </c>
      <c r="AE90" s="39">
        <f t="shared" si="112"/>
        <v>2.2298886379565452</v>
      </c>
      <c r="AF90" s="3">
        <f t="shared" si="113"/>
        <v>3553</v>
      </c>
      <c r="AG90" s="3">
        <f t="shared" si="113"/>
        <v>4920</v>
      </c>
      <c r="AH90" s="3">
        <f t="shared" si="113"/>
        <v>2971</v>
      </c>
      <c r="AI90" s="3">
        <f t="shared" si="113"/>
        <v>7891</v>
      </c>
      <c r="AJ90" s="3">
        <f t="shared" si="113"/>
        <v>142462</v>
      </c>
      <c r="AK90" s="1">
        <v>43435</v>
      </c>
      <c r="AL90" s="3">
        <f t="shared" si="114"/>
        <v>799</v>
      </c>
      <c r="AM90" s="3">
        <f t="shared" si="115"/>
        <v>619</v>
      </c>
      <c r="AN90" s="3">
        <f t="shared" si="36"/>
        <v>1418</v>
      </c>
      <c r="AO90" s="34">
        <f t="shared" si="102"/>
        <v>0.36039693279206136</v>
      </c>
      <c r="AQ90" s="1">
        <f t="shared" si="103"/>
        <v>43435</v>
      </c>
      <c r="AR90" s="53">
        <f t="shared" si="104"/>
        <v>190</v>
      </c>
    </row>
    <row r="91" spans="1:44">
      <c r="A91" s="1">
        <v>43466</v>
      </c>
      <c r="B91" s="3">
        <v>28</v>
      </c>
      <c r="C91">
        <v>13173</v>
      </c>
      <c r="D91">
        <v>15822</v>
      </c>
      <c r="G91">
        <f t="shared" si="66"/>
        <v>36597</v>
      </c>
      <c r="H91">
        <f t="shared" si="67"/>
        <v>815575</v>
      </c>
      <c r="I91">
        <f t="shared" si="68"/>
        <v>772918</v>
      </c>
      <c r="J91" s="1">
        <v>43466</v>
      </c>
      <c r="K91" s="3">
        <v>1435</v>
      </c>
      <c r="L91" s="3">
        <v>762</v>
      </c>
      <c r="M91" s="3">
        <f t="shared" si="78"/>
        <v>2197</v>
      </c>
      <c r="N91" s="3">
        <f t="shared" si="79"/>
        <v>2127.3333333333335</v>
      </c>
      <c r="O91" s="3">
        <f t="shared" si="106"/>
        <v>1568.6944444444443</v>
      </c>
      <c r="P91">
        <f t="shared" si="80"/>
        <v>101983</v>
      </c>
      <c r="Q91" s="4">
        <f t="shared" si="81"/>
        <v>7.5788905994136275</v>
      </c>
      <c r="R91" s="17">
        <f t="shared" si="82"/>
        <v>19311</v>
      </c>
      <c r="S91" s="6" t="s">
        <v>19</v>
      </c>
      <c r="T91" s="97">
        <f t="shared" si="83"/>
        <v>7.2016385980883024</v>
      </c>
      <c r="V91" s="81">
        <v>435</v>
      </c>
      <c r="W91" s="81">
        <v>640</v>
      </c>
      <c r="X91" s="81">
        <v>372</v>
      </c>
      <c r="Y91" s="5">
        <f t="shared" si="87"/>
        <v>1012</v>
      </c>
      <c r="Z91" s="83">
        <f>V91*49</f>
        <v>21315</v>
      </c>
      <c r="AA91" s="38">
        <f t="shared" si="108"/>
        <v>13276</v>
      </c>
      <c r="AB91">
        <f t="shared" si="109"/>
        <v>18571</v>
      </c>
      <c r="AC91">
        <f t="shared" si="110"/>
        <v>11075</v>
      </c>
      <c r="AD91">
        <f t="shared" si="111"/>
        <v>29646</v>
      </c>
      <c r="AE91" s="39">
        <f t="shared" si="112"/>
        <v>2.2330521241337751</v>
      </c>
      <c r="AF91" s="3">
        <f t="shared" si="113"/>
        <v>3568</v>
      </c>
      <c r="AG91" s="3">
        <f t="shared" si="113"/>
        <v>4991</v>
      </c>
      <c r="AH91" s="3">
        <f t="shared" si="113"/>
        <v>2998</v>
      </c>
      <c r="AI91" s="3">
        <f t="shared" si="113"/>
        <v>7989</v>
      </c>
      <c r="AJ91" s="3">
        <f t="shared" si="113"/>
        <v>143197</v>
      </c>
      <c r="AK91" s="1">
        <v>43466</v>
      </c>
      <c r="AL91" s="3">
        <f t="shared" si="114"/>
        <v>795</v>
      </c>
      <c r="AM91" s="3">
        <f t="shared" si="115"/>
        <v>390</v>
      </c>
      <c r="AN91" s="3">
        <f t="shared" si="36"/>
        <v>1185</v>
      </c>
      <c r="AO91" s="34">
        <f t="shared" si="102"/>
        <v>0.4606281292671825</v>
      </c>
      <c r="AQ91" s="1">
        <f t="shared" si="103"/>
        <v>43466</v>
      </c>
      <c r="AR91" s="53">
        <f t="shared" si="104"/>
        <v>635</v>
      </c>
    </row>
    <row r="92" spans="1:44">
      <c r="A92" s="1">
        <v>43497</v>
      </c>
      <c r="B92" s="3">
        <v>28</v>
      </c>
      <c r="C92">
        <v>11468</v>
      </c>
      <c r="D92">
        <v>15687</v>
      </c>
      <c r="G92">
        <f t="shared" si="66"/>
        <v>32378</v>
      </c>
      <c r="H92">
        <f t="shared" si="67"/>
        <v>827043</v>
      </c>
      <c r="I92">
        <f t="shared" si="68"/>
        <v>788605</v>
      </c>
      <c r="J92" s="1">
        <v>43497</v>
      </c>
      <c r="K92" s="3">
        <v>1145</v>
      </c>
      <c r="L92" s="3">
        <v>593</v>
      </c>
      <c r="M92" s="3">
        <f t="shared" si="78"/>
        <v>1738</v>
      </c>
      <c r="N92" s="3">
        <f t="shared" si="79"/>
        <v>2050.6666666666665</v>
      </c>
      <c r="O92" s="3">
        <f t="shared" si="106"/>
        <v>1598.4444444444446</v>
      </c>
      <c r="P92">
        <f t="shared" si="80"/>
        <v>103721</v>
      </c>
      <c r="Q92" s="4">
        <f t="shared" si="81"/>
        <v>7.6031372624637248</v>
      </c>
      <c r="R92" s="17">
        <f t="shared" si="82"/>
        <v>19557</v>
      </c>
      <c r="S92" s="6" t="s">
        <v>19</v>
      </c>
      <c r="T92" s="97">
        <f t="shared" si="83"/>
        <v>9.0258918296892983</v>
      </c>
      <c r="V92" s="81">
        <v>345</v>
      </c>
      <c r="W92" s="81">
        <v>479</v>
      </c>
      <c r="X92" s="81">
        <v>293</v>
      </c>
      <c r="Y92" s="5">
        <f t="shared" si="87"/>
        <v>772</v>
      </c>
      <c r="Z92" s="83">
        <f>V92*49</f>
        <v>16905</v>
      </c>
      <c r="AA92" s="38">
        <f t="shared" si="108"/>
        <v>13621</v>
      </c>
      <c r="AB92">
        <f t="shared" si="109"/>
        <v>19050</v>
      </c>
      <c r="AC92">
        <f t="shared" si="110"/>
        <v>11368</v>
      </c>
      <c r="AD92">
        <f t="shared" si="111"/>
        <v>30418</v>
      </c>
      <c r="AE92" s="39">
        <f t="shared" si="112"/>
        <v>2.2331693708244624</v>
      </c>
      <c r="AF92" s="3">
        <f t="shared" si="113"/>
        <v>3543</v>
      </c>
      <c r="AG92" s="3">
        <f t="shared" si="113"/>
        <v>4968</v>
      </c>
      <c r="AH92" s="3">
        <f t="shared" si="113"/>
        <v>2985</v>
      </c>
      <c r="AI92" s="3">
        <f t="shared" si="113"/>
        <v>7953</v>
      </c>
      <c r="AJ92" s="3">
        <f t="shared" si="113"/>
        <v>141972</v>
      </c>
      <c r="AK92" s="1">
        <v>43497</v>
      </c>
      <c r="AL92" s="3">
        <f t="shared" si="114"/>
        <v>666</v>
      </c>
      <c r="AM92" s="3">
        <f t="shared" si="115"/>
        <v>300</v>
      </c>
      <c r="AN92" s="3">
        <f t="shared" si="36"/>
        <v>966</v>
      </c>
      <c r="AO92" s="34">
        <f t="shared" si="102"/>
        <v>0.4441887226697353</v>
      </c>
      <c r="AQ92" s="1">
        <f t="shared" si="103"/>
        <v>43497</v>
      </c>
      <c r="AR92" s="53">
        <f t="shared" si="104"/>
        <v>246</v>
      </c>
    </row>
    <row r="93" spans="1:44">
      <c r="A93" s="1">
        <v>43525</v>
      </c>
      <c r="B93" s="3">
        <v>28</v>
      </c>
      <c r="C93">
        <v>10519</v>
      </c>
      <c r="D93">
        <v>12079</v>
      </c>
      <c r="E93">
        <f>SUM(C82:C93)</f>
        <v>167016</v>
      </c>
      <c r="F93">
        <f>SUM(D82:D93)</f>
        <v>167478</v>
      </c>
      <c r="G93">
        <f t="shared" si="66"/>
        <v>30818</v>
      </c>
      <c r="H93">
        <f t="shared" si="67"/>
        <v>837562</v>
      </c>
      <c r="I93">
        <f t="shared" si="68"/>
        <v>800684</v>
      </c>
      <c r="J93" s="1">
        <v>43525</v>
      </c>
      <c r="K93" s="3">
        <v>976</v>
      </c>
      <c r="L93" s="3">
        <v>552</v>
      </c>
      <c r="M93" s="3">
        <f t="shared" si="78"/>
        <v>1528</v>
      </c>
      <c r="N93" s="3">
        <f t="shared" si="79"/>
        <v>1821</v>
      </c>
      <c r="O93" s="3">
        <f t="shared" si="106"/>
        <v>1617.5555555555557</v>
      </c>
      <c r="P93">
        <f t="shared" si="80"/>
        <v>105249</v>
      </c>
      <c r="Q93" s="4">
        <f t="shared" si="81"/>
        <v>7.6075212116029602</v>
      </c>
      <c r="R93" s="41">
        <f t="shared" si="82"/>
        <v>19364</v>
      </c>
      <c r="S93" s="21" t="s">
        <v>52</v>
      </c>
      <c r="T93" s="97">
        <f t="shared" si="83"/>
        <v>7.9051047120418847</v>
      </c>
      <c r="V93" s="81">
        <v>237</v>
      </c>
      <c r="W93" s="81">
        <v>321</v>
      </c>
      <c r="X93" s="81">
        <v>223</v>
      </c>
      <c r="Y93" s="5">
        <f t="shared" si="87"/>
        <v>544</v>
      </c>
      <c r="Z93" s="83">
        <f>V93*49</f>
        <v>11613</v>
      </c>
      <c r="AA93" s="38">
        <f t="shared" si="108"/>
        <v>13858</v>
      </c>
      <c r="AB93">
        <f t="shared" si="109"/>
        <v>19371</v>
      </c>
      <c r="AC93">
        <f t="shared" si="110"/>
        <v>11591</v>
      </c>
      <c r="AD93">
        <f t="shared" si="111"/>
        <v>30962</v>
      </c>
      <c r="AE93" s="39">
        <f t="shared" si="112"/>
        <v>2.2342329340453166</v>
      </c>
      <c r="AF93" s="3">
        <f t="shared" si="113"/>
        <v>3379</v>
      </c>
      <c r="AG93" s="3">
        <f t="shared" si="113"/>
        <v>4719</v>
      </c>
      <c r="AH93" s="3">
        <f t="shared" si="113"/>
        <v>2847</v>
      </c>
      <c r="AI93" s="3">
        <f t="shared" si="113"/>
        <v>7566</v>
      </c>
      <c r="AJ93" s="3">
        <f t="shared" si="113"/>
        <v>133936</v>
      </c>
      <c r="AK93" s="1">
        <v>43525</v>
      </c>
      <c r="AL93" s="3">
        <f t="shared" si="114"/>
        <v>655</v>
      </c>
      <c r="AM93" s="3">
        <f t="shared" si="115"/>
        <v>329</v>
      </c>
      <c r="AN93" s="3">
        <f t="shared" si="36"/>
        <v>984</v>
      </c>
      <c r="AO93" s="34">
        <f t="shared" si="102"/>
        <v>0.35602094240837695</v>
      </c>
      <c r="AQ93" s="1">
        <f t="shared" si="103"/>
        <v>43525</v>
      </c>
      <c r="AR93" s="53">
        <f t="shared" si="104"/>
        <v>-193</v>
      </c>
    </row>
    <row r="94" spans="1:44">
      <c r="A94" s="1">
        <v>43556</v>
      </c>
      <c r="B94" s="3">
        <v>28</v>
      </c>
      <c r="C94">
        <v>10077</v>
      </c>
      <c r="D94">
        <v>14667</v>
      </c>
      <c r="G94">
        <f t="shared" si="66"/>
        <v>26228</v>
      </c>
      <c r="H94">
        <f t="shared" si="67"/>
        <v>847639</v>
      </c>
      <c r="I94">
        <f t="shared" si="68"/>
        <v>815351</v>
      </c>
      <c r="J94" s="1">
        <v>43556</v>
      </c>
      <c r="K94" s="3">
        <v>891</v>
      </c>
      <c r="L94" s="3">
        <v>567</v>
      </c>
      <c r="M94" s="3">
        <f t="shared" si="78"/>
        <v>1458</v>
      </c>
      <c r="N94" s="3">
        <f t="shared" si="79"/>
        <v>1574.6666666666667</v>
      </c>
      <c r="O94" s="3">
        <f t="shared" si="106"/>
        <v>1621.6388888888889</v>
      </c>
      <c r="P94">
        <f t="shared" si="80"/>
        <v>106707</v>
      </c>
      <c r="Q94" s="4">
        <f t="shared" si="81"/>
        <v>7.6410263619069037</v>
      </c>
      <c r="R94" s="17">
        <f t="shared" si="82"/>
        <v>19458</v>
      </c>
      <c r="S94" s="6" t="s">
        <v>19</v>
      </c>
      <c r="T94" s="97">
        <f t="shared" si="83"/>
        <v>10.059670781893004</v>
      </c>
      <c r="V94" s="81">
        <v>214</v>
      </c>
      <c r="W94" s="81">
        <v>297</v>
      </c>
      <c r="X94" s="81">
        <v>187</v>
      </c>
      <c r="Y94" s="5">
        <f t="shared" si="87"/>
        <v>484</v>
      </c>
      <c r="Z94" s="5">
        <f t="shared" si="107"/>
        <v>6420</v>
      </c>
      <c r="AA94" s="38">
        <f t="shared" si="108"/>
        <v>14072</v>
      </c>
      <c r="AB94">
        <f t="shared" si="109"/>
        <v>19668</v>
      </c>
      <c r="AC94">
        <f t="shared" si="110"/>
        <v>11778</v>
      </c>
      <c r="AD94">
        <f t="shared" si="111"/>
        <v>31446</v>
      </c>
      <c r="AE94" s="39">
        <f t="shared" ref="AE94:AE100" si="116">AD94/AA94</f>
        <v>2.2346503695281408</v>
      </c>
      <c r="AF94" s="3">
        <f t="shared" ref="AF94:AF100" si="117">SUM(V83:V94)</f>
        <v>3314</v>
      </c>
      <c r="AG94" s="3">
        <f t="shared" ref="AG94:AG102" si="118">SUM(W83:W94)</f>
        <v>4634</v>
      </c>
      <c r="AH94" s="3">
        <f t="shared" ref="AH94:AH102" si="119">SUM(X83:X94)</f>
        <v>2783</v>
      </c>
      <c r="AI94" s="3">
        <f t="shared" ref="AI94:AI102" si="120">SUM(Y83:Y94)</f>
        <v>7417</v>
      </c>
      <c r="AJ94" s="3">
        <f t="shared" ref="AJ94:AJ100" si="121">SUM(Z83:Z94)</f>
        <v>131986</v>
      </c>
      <c r="AK94" s="1">
        <v>43556</v>
      </c>
      <c r="AL94" s="3">
        <f t="shared" si="114"/>
        <v>594</v>
      </c>
      <c r="AM94" s="3">
        <f t="shared" si="115"/>
        <v>380</v>
      </c>
      <c r="AN94" s="3">
        <f t="shared" si="36"/>
        <v>974</v>
      </c>
      <c r="AO94" s="34">
        <f t="shared" si="102"/>
        <v>0.3319615912208505</v>
      </c>
      <c r="AQ94" s="1">
        <f t="shared" si="103"/>
        <v>43556</v>
      </c>
      <c r="AR94" s="53">
        <f t="shared" si="104"/>
        <v>94</v>
      </c>
    </row>
    <row r="95" spans="1:44">
      <c r="A95" s="1">
        <v>43586</v>
      </c>
      <c r="B95" s="3">
        <v>28</v>
      </c>
      <c r="C95">
        <v>8342</v>
      </c>
      <c r="D95">
        <v>11263</v>
      </c>
      <c r="G95">
        <f t="shared" si="66"/>
        <v>23307</v>
      </c>
      <c r="H95">
        <f t="shared" si="67"/>
        <v>855981</v>
      </c>
      <c r="I95">
        <f t="shared" si="68"/>
        <v>826614</v>
      </c>
      <c r="J95" s="1">
        <v>43586</v>
      </c>
      <c r="K95" s="3">
        <v>983</v>
      </c>
      <c r="L95" s="3">
        <v>545</v>
      </c>
      <c r="M95" s="3">
        <f t="shared" si="78"/>
        <v>1528</v>
      </c>
      <c r="N95" s="3">
        <f t="shared" si="79"/>
        <v>1504.6666666666667</v>
      </c>
      <c r="O95" s="3">
        <f t="shared" si="106"/>
        <v>1625.1666666666667</v>
      </c>
      <c r="P95">
        <f t="shared" si="80"/>
        <v>108235</v>
      </c>
      <c r="Q95" s="4">
        <f t="shared" si="81"/>
        <v>7.6372153185198872</v>
      </c>
      <c r="R95" s="17">
        <f t="shared" si="82"/>
        <v>19684</v>
      </c>
      <c r="S95" s="6" t="s">
        <v>19</v>
      </c>
      <c r="T95" s="97">
        <f t="shared" si="83"/>
        <v>7.3710732984293195</v>
      </c>
      <c r="V95" s="81">
        <v>224</v>
      </c>
      <c r="W95" s="81">
        <v>304</v>
      </c>
      <c r="X95" s="81">
        <v>184</v>
      </c>
      <c r="Y95" s="5">
        <f t="shared" si="87"/>
        <v>488</v>
      </c>
      <c r="Z95" s="5">
        <f t="shared" si="107"/>
        <v>6720</v>
      </c>
      <c r="AA95" s="38">
        <f t="shared" si="108"/>
        <v>14296</v>
      </c>
      <c r="AB95">
        <f t="shared" si="109"/>
        <v>19972</v>
      </c>
      <c r="AC95">
        <f t="shared" si="110"/>
        <v>11962</v>
      </c>
      <c r="AD95">
        <f t="shared" si="111"/>
        <v>31934</v>
      </c>
      <c r="AE95" s="39">
        <f t="shared" si="116"/>
        <v>2.2337716843872411</v>
      </c>
      <c r="AF95" s="3">
        <f t="shared" si="117"/>
        <v>3327</v>
      </c>
      <c r="AG95" s="3">
        <f t="shared" si="118"/>
        <v>4645</v>
      </c>
      <c r="AH95" s="3">
        <f t="shared" si="119"/>
        <v>2809</v>
      </c>
      <c r="AI95" s="3">
        <f t="shared" si="120"/>
        <v>7454</v>
      </c>
      <c r="AJ95" s="3">
        <f t="shared" si="121"/>
        <v>132376</v>
      </c>
      <c r="AK95" s="1">
        <v>43586</v>
      </c>
      <c r="AL95" s="3">
        <f t="shared" ref="AL95:AM102" si="122">K95-W95</f>
        <v>679</v>
      </c>
      <c r="AM95" s="3">
        <f t="shared" si="122"/>
        <v>361</v>
      </c>
      <c r="AN95" s="3">
        <f t="shared" si="36"/>
        <v>1040</v>
      </c>
      <c r="AO95" s="34">
        <f t="shared" ref="AO95:AO102" si="123">Y95/(AN95+Y95)</f>
        <v>0.3193717277486911</v>
      </c>
      <c r="AQ95" s="1">
        <f t="shared" si="103"/>
        <v>43586</v>
      </c>
      <c r="AR95" s="53">
        <f t="shared" si="104"/>
        <v>226</v>
      </c>
    </row>
    <row r="96" spans="1:44">
      <c r="A96" s="1">
        <v>43617</v>
      </c>
      <c r="B96" s="3">
        <v>28</v>
      </c>
      <c r="C96">
        <v>9153</v>
      </c>
      <c r="D96">
        <v>11719</v>
      </c>
      <c r="G96">
        <f t="shared" si="66"/>
        <v>20741</v>
      </c>
      <c r="H96">
        <f t="shared" si="67"/>
        <v>865134</v>
      </c>
      <c r="I96">
        <f t="shared" si="68"/>
        <v>838333</v>
      </c>
      <c r="J96" s="1">
        <v>43617</v>
      </c>
      <c r="K96" s="3">
        <v>824</v>
      </c>
      <c r="L96" s="3">
        <v>404</v>
      </c>
      <c r="M96" s="3">
        <f t="shared" si="78"/>
        <v>1228</v>
      </c>
      <c r="N96" s="3">
        <f t="shared" si="79"/>
        <v>1404.6666666666667</v>
      </c>
      <c r="O96" s="3">
        <f t="shared" si="106"/>
        <v>1634.8055555555557</v>
      </c>
      <c r="P96">
        <f t="shared" si="80"/>
        <v>109463</v>
      </c>
      <c r="Q96" s="4">
        <f t="shared" si="81"/>
        <v>7.6585969688387854</v>
      </c>
      <c r="R96" s="17">
        <f t="shared" si="82"/>
        <v>19711</v>
      </c>
      <c r="S96" s="6" t="s">
        <v>19</v>
      </c>
      <c r="T96" s="97">
        <f t="shared" si="83"/>
        <v>9.5431596091205204</v>
      </c>
      <c r="V96" s="5">
        <v>193</v>
      </c>
      <c r="W96" s="5">
        <v>187</v>
      </c>
      <c r="X96" s="5">
        <v>108</v>
      </c>
      <c r="Y96" s="5">
        <f t="shared" si="87"/>
        <v>295</v>
      </c>
      <c r="Z96" s="5">
        <f t="shared" si="107"/>
        <v>5790</v>
      </c>
      <c r="AA96" s="38">
        <f t="shared" si="108"/>
        <v>14489</v>
      </c>
      <c r="AB96">
        <f t="shared" si="109"/>
        <v>20159</v>
      </c>
      <c r="AC96">
        <f t="shared" si="110"/>
        <v>12070</v>
      </c>
      <c r="AD96">
        <f t="shared" si="111"/>
        <v>32229</v>
      </c>
      <c r="AE96" s="39">
        <f t="shared" si="116"/>
        <v>2.2243771136724413</v>
      </c>
      <c r="AF96" s="3">
        <f t="shared" si="117"/>
        <v>3318</v>
      </c>
      <c r="AG96" s="3">
        <f t="shared" si="118"/>
        <v>4569</v>
      </c>
      <c r="AH96" s="3">
        <f t="shared" si="119"/>
        <v>2789</v>
      </c>
      <c r="AI96" s="3">
        <f t="shared" si="120"/>
        <v>7358</v>
      </c>
      <c r="AJ96" s="3">
        <f t="shared" si="121"/>
        <v>132106</v>
      </c>
      <c r="AK96" s="1">
        <v>43617</v>
      </c>
      <c r="AL96" s="3">
        <f t="shared" si="122"/>
        <v>637</v>
      </c>
      <c r="AM96" s="3">
        <f t="shared" si="122"/>
        <v>296</v>
      </c>
      <c r="AN96" s="3">
        <f t="shared" si="36"/>
        <v>933</v>
      </c>
      <c r="AO96" s="34">
        <f t="shared" si="123"/>
        <v>0.24022801302931596</v>
      </c>
      <c r="AQ96" s="1">
        <f t="shared" si="103"/>
        <v>43617</v>
      </c>
      <c r="AR96" s="53">
        <f t="shared" si="104"/>
        <v>27</v>
      </c>
    </row>
    <row r="97" spans="1:44">
      <c r="A97" s="1">
        <v>43647</v>
      </c>
      <c r="B97" s="3">
        <v>28</v>
      </c>
      <c r="C97">
        <v>11481</v>
      </c>
      <c r="D97">
        <v>15157</v>
      </c>
      <c r="G97">
        <f t="shared" si="66"/>
        <v>17065</v>
      </c>
      <c r="H97">
        <f t="shared" si="67"/>
        <v>876615</v>
      </c>
      <c r="I97">
        <f t="shared" si="68"/>
        <v>853490</v>
      </c>
      <c r="J97" s="1">
        <v>43647</v>
      </c>
      <c r="K97" s="3">
        <v>857</v>
      </c>
      <c r="L97" s="3">
        <v>526</v>
      </c>
      <c r="M97" s="3">
        <f t="shared" si="78"/>
        <v>1383</v>
      </c>
      <c r="N97" s="3">
        <f t="shared" si="79"/>
        <v>1379.6666666666667</v>
      </c>
      <c r="O97" s="3">
        <f t="shared" si="106"/>
        <v>1647.1111111111113</v>
      </c>
      <c r="P97">
        <f t="shared" si="80"/>
        <v>110846</v>
      </c>
      <c r="Q97" s="4">
        <f t="shared" si="81"/>
        <v>7.6997816790862998</v>
      </c>
      <c r="R97" s="17">
        <f t="shared" si="82"/>
        <v>19901</v>
      </c>
      <c r="S97" s="6" t="s">
        <v>19</v>
      </c>
      <c r="T97" s="97">
        <f t="shared" si="83"/>
        <v>10.959508315256688</v>
      </c>
      <c r="V97" s="5">
        <v>205</v>
      </c>
      <c r="W97" s="5">
        <v>264</v>
      </c>
      <c r="X97" s="5">
        <v>213</v>
      </c>
      <c r="Y97" s="5">
        <f t="shared" si="87"/>
        <v>477</v>
      </c>
      <c r="Z97" s="5">
        <f t="shared" si="107"/>
        <v>6150</v>
      </c>
      <c r="AA97" s="38">
        <f t="shared" si="108"/>
        <v>14694</v>
      </c>
      <c r="AB97">
        <f t="shared" si="109"/>
        <v>20423</v>
      </c>
      <c r="AC97">
        <f t="shared" si="110"/>
        <v>12283</v>
      </c>
      <c r="AD97">
        <f t="shared" si="111"/>
        <v>32706</v>
      </c>
      <c r="AE97" s="39">
        <f t="shared" si="116"/>
        <v>2.225806451612903</v>
      </c>
      <c r="AF97" s="3">
        <f t="shared" si="117"/>
        <v>3350</v>
      </c>
      <c r="AG97" s="3">
        <f t="shared" si="118"/>
        <v>4598</v>
      </c>
      <c r="AH97" s="3">
        <f t="shared" si="119"/>
        <v>2843</v>
      </c>
      <c r="AI97" s="3">
        <f t="shared" si="120"/>
        <v>7441</v>
      </c>
      <c r="AJ97" s="3">
        <f t="shared" si="121"/>
        <v>133066</v>
      </c>
      <c r="AK97" s="1">
        <v>43647</v>
      </c>
      <c r="AL97" s="3">
        <f t="shared" si="122"/>
        <v>593</v>
      </c>
      <c r="AM97" s="3">
        <f t="shared" si="122"/>
        <v>313</v>
      </c>
      <c r="AN97" s="3">
        <f t="shared" si="36"/>
        <v>906</v>
      </c>
      <c r="AO97" s="34">
        <f t="shared" si="123"/>
        <v>0.34490238611713664</v>
      </c>
      <c r="AQ97" s="1">
        <f t="shared" si="103"/>
        <v>43647</v>
      </c>
      <c r="AR97" s="53">
        <f t="shared" si="104"/>
        <v>190</v>
      </c>
    </row>
    <row r="98" spans="1:44">
      <c r="A98" s="1">
        <v>43678</v>
      </c>
      <c r="B98" s="3">
        <v>28</v>
      </c>
      <c r="C98">
        <v>8185</v>
      </c>
      <c r="D98">
        <v>10283</v>
      </c>
      <c r="G98" s="70">
        <f t="shared" si="66"/>
        <v>14967</v>
      </c>
      <c r="H98">
        <f t="shared" si="67"/>
        <v>884800</v>
      </c>
      <c r="I98">
        <f t="shared" si="68"/>
        <v>863773</v>
      </c>
      <c r="J98" s="1">
        <v>43678</v>
      </c>
      <c r="K98" s="3">
        <v>892</v>
      </c>
      <c r="L98" s="3">
        <v>528</v>
      </c>
      <c r="M98" s="3">
        <f t="shared" si="78"/>
        <v>1420</v>
      </c>
      <c r="N98" s="3">
        <f t="shared" si="79"/>
        <v>1343.6666666666667</v>
      </c>
      <c r="O98" s="3">
        <f t="shared" si="106"/>
        <v>1653.4722222222224</v>
      </c>
      <c r="P98">
        <f t="shared" si="80"/>
        <v>112266</v>
      </c>
      <c r="Q98" s="4">
        <f t="shared" si="81"/>
        <v>7.6939857125042312</v>
      </c>
      <c r="R98" s="17">
        <f t="shared" si="82"/>
        <v>19913</v>
      </c>
      <c r="S98" s="6" t="s">
        <v>19</v>
      </c>
      <c r="T98" s="97">
        <f t="shared" si="83"/>
        <v>7.2415492957746475</v>
      </c>
      <c r="V98" s="5">
        <v>202</v>
      </c>
      <c r="W98" s="5">
        <v>265</v>
      </c>
      <c r="X98" s="5">
        <v>185</v>
      </c>
      <c r="Y98" s="5">
        <f t="shared" si="87"/>
        <v>450</v>
      </c>
      <c r="Z98" s="5">
        <f t="shared" si="107"/>
        <v>6060</v>
      </c>
      <c r="AA98" s="38">
        <f t="shared" si="108"/>
        <v>14896</v>
      </c>
      <c r="AB98">
        <f t="shared" si="109"/>
        <v>20688</v>
      </c>
      <c r="AC98">
        <f t="shared" si="110"/>
        <v>12468</v>
      </c>
      <c r="AD98">
        <f t="shared" si="111"/>
        <v>33156</v>
      </c>
      <c r="AE98" s="39">
        <f t="shared" si="116"/>
        <v>2.2258324382384531</v>
      </c>
      <c r="AF98" s="3">
        <f t="shared" si="117"/>
        <v>3322</v>
      </c>
      <c r="AG98" s="3">
        <f t="shared" si="118"/>
        <v>4545</v>
      </c>
      <c r="AH98" s="3">
        <f t="shared" si="119"/>
        <v>2829</v>
      </c>
      <c r="AI98" s="3">
        <f t="shared" si="120"/>
        <v>7374</v>
      </c>
      <c r="AJ98" s="3">
        <f t="shared" si="121"/>
        <v>132226</v>
      </c>
      <c r="AK98" s="1">
        <v>43678</v>
      </c>
      <c r="AL98" s="3">
        <f t="shared" si="122"/>
        <v>627</v>
      </c>
      <c r="AM98" s="3">
        <f t="shared" si="122"/>
        <v>343</v>
      </c>
      <c r="AN98" s="3">
        <f t="shared" si="36"/>
        <v>970</v>
      </c>
      <c r="AO98" s="34">
        <f t="shared" si="123"/>
        <v>0.31690140845070425</v>
      </c>
      <c r="AQ98" s="1">
        <f t="shared" si="103"/>
        <v>43678</v>
      </c>
      <c r="AR98" s="53">
        <f t="shared" si="104"/>
        <v>12</v>
      </c>
    </row>
    <row r="99" spans="1:44">
      <c r="A99" s="1">
        <v>43709</v>
      </c>
      <c r="B99" s="3">
        <v>28</v>
      </c>
      <c r="C99">
        <v>11871</v>
      </c>
      <c r="D99">
        <v>10408</v>
      </c>
      <c r="G99">
        <f t="shared" si="66"/>
        <v>16430</v>
      </c>
      <c r="H99">
        <f t="shared" si="67"/>
        <v>896671</v>
      </c>
      <c r="I99">
        <f t="shared" si="68"/>
        <v>874181</v>
      </c>
      <c r="J99" s="1">
        <v>43709</v>
      </c>
      <c r="K99" s="3">
        <v>915</v>
      </c>
      <c r="L99" s="3">
        <v>588</v>
      </c>
      <c r="M99" s="3">
        <f t="shared" si="78"/>
        <v>1503</v>
      </c>
      <c r="N99" s="3">
        <f t="shared" si="79"/>
        <v>1435.3333333333333</v>
      </c>
      <c r="O99" s="3">
        <f t="shared" si="106"/>
        <v>1659.2222222222219</v>
      </c>
      <c r="P99">
        <f t="shared" si="80"/>
        <v>113769</v>
      </c>
      <c r="Q99" s="4">
        <f t="shared" si="81"/>
        <v>7.6838242403466674</v>
      </c>
      <c r="R99" s="17">
        <f t="shared" si="82"/>
        <v>19918</v>
      </c>
      <c r="S99" s="6" t="s">
        <v>19</v>
      </c>
      <c r="T99" s="97">
        <f t="shared" si="83"/>
        <v>6.9248170326014638</v>
      </c>
      <c r="V99" s="5">
        <v>208</v>
      </c>
      <c r="W99" s="5">
        <v>294</v>
      </c>
      <c r="X99" s="5">
        <v>202</v>
      </c>
      <c r="Y99" s="5">
        <f t="shared" si="87"/>
        <v>496</v>
      </c>
      <c r="Z99" s="5">
        <f t="shared" si="107"/>
        <v>6240</v>
      </c>
      <c r="AA99" s="38">
        <f t="shared" si="108"/>
        <v>15104</v>
      </c>
      <c r="AB99">
        <f>AB98+W99</f>
        <v>20982</v>
      </c>
      <c r="AC99">
        <f t="shared" si="110"/>
        <v>12670</v>
      </c>
      <c r="AD99">
        <f t="shared" si="111"/>
        <v>33652</v>
      </c>
      <c r="AE99" s="39">
        <f t="shared" si="116"/>
        <v>2.2280190677966103</v>
      </c>
      <c r="AF99" s="3">
        <f t="shared" si="117"/>
        <v>3274</v>
      </c>
      <c r="AG99" s="3">
        <f t="shared" si="118"/>
        <v>4468</v>
      </c>
      <c r="AH99" s="3">
        <f t="shared" si="119"/>
        <v>2830</v>
      </c>
      <c r="AI99" s="3">
        <f t="shared" si="120"/>
        <v>7298</v>
      </c>
      <c r="AJ99" s="3">
        <f t="shared" si="121"/>
        <v>130786</v>
      </c>
      <c r="AK99" s="1">
        <v>43709</v>
      </c>
      <c r="AL99" s="3">
        <f t="shared" si="122"/>
        <v>621</v>
      </c>
      <c r="AM99" s="3">
        <f t="shared" si="122"/>
        <v>386</v>
      </c>
      <c r="AN99" s="3">
        <f t="shared" si="36"/>
        <v>1007</v>
      </c>
      <c r="AO99" s="34">
        <f t="shared" si="123"/>
        <v>0.33000665335994678</v>
      </c>
      <c r="AQ99" s="1">
        <f t="shared" si="103"/>
        <v>43709</v>
      </c>
      <c r="AR99" s="53">
        <f t="shared" si="104"/>
        <v>5</v>
      </c>
    </row>
    <row r="100" spans="1:44">
      <c r="A100" s="1">
        <v>43739</v>
      </c>
      <c r="B100" s="3">
        <v>28</v>
      </c>
      <c r="C100">
        <v>21501</v>
      </c>
      <c r="D100">
        <v>16811</v>
      </c>
      <c r="G100">
        <f t="shared" si="66"/>
        <v>21120</v>
      </c>
      <c r="H100">
        <f t="shared" si="67"/>
        <v>918172</v>
      </c>
      <c r="I100">
        <f t="shared" si="68"/>
        <v>890992</v>
      </c>
      <c r="J100" s="1">
        <v>43739</v>
      </c>
      <c r="K100" s="3">
        <v>1094</v>
      </c>
      <c r="L100" s="3">
        <v>660</v>
      </c>
      <c r="M100" s="3">
        <f t="shared" si="78"/>
        <v>1754</v>
      </c>
      <c r="N100" s="3">
        <f t="shared" si="79"/>
        <v>1559</v>
      </c>
      <c r="O100" s="72">
        <f t="shared" si="106"/>
        <v>1659.8055555555554</v>
      </c>
      <c r="P100">
        <f t="shared" si="80"/>
        <v>115523</v>
      </c>
      <c r="Q100" s="4">
        <f t="shared" si="81"/>
        <v>7.7126805917436352</v>
      </c>
      <c r="R100" s="69">
        <f t="shared" si="82"/>
        <v>19922</v>
      </c>
      <c r="S100" s="25" t="s">
        <v>53</v>
      </c>
      <c r="T100" s="97">
        <f t="shared" si="83"/>
        <v>9.5843785632839218</v>
      </c>
      <c r="V100" s="5">
        <v>251</v>
      </c>
      <c r="W100" s="5">
        <v>345</v>
      </c>
      <c r="X100" s="5">
        <v>233</v>
      </c>
      <c r="Y100" s="5">
        <f t="shared" si="87"/>
        <v>578</v>
      </c>
      <c r="Z100" s="5">
        <f>V100*30</f>
        <v>7530</v>
      </c>
      <c r="AA100" s="38">
        <f t="shared" si="108"/>
        <v>15355</v>
      </c>
      <c r="AB100">
        <f t="shared" si="109"/>
        <v>21327</v>
      </c>
      <c r="AC100">
        <f t="shared" si="110"/>
        <v>12903</v>
      </c>
      <c r="AD100">
        <f t="shared" si="111"/>
        <v>34230</v>
      </c>
      <c r="AE100" s="39">
        <f t="shared" si="116"/>
        <v>2.2292412894822533</v>
      </c>
      <c r="AF100" s="3">
        <f t="shared" si="117"/>
        <v>3211</v>
      </c>
      <c r="AG100" s="3">
        <f t="shared" si="118"/>
        <v>4373</v>
      </c>
      <c r="AH100" s="3">
        <f t="shared" si="119"/>
        <v>2822</v>
      </c>
      <c r="AI100" s="3">
        <f t="shared" si="120"/>
        <v>7195</v>
      </c>
      <c r="AJ100" s="3">
        <f t="shared" si="121"/>
        <v>128896</v>
      </c>
      <c r="AK100" s="1">
        <v>43739</v>
      </c>
      <c r="AL100" s="3">
        <f t="shared" si="122"/>
        <v>749</v>
      </c>
      <c r="AM100" s="3">
        <f t="shared" si="122"/>
        <v>427</v>
      </c>
      <c r="AN100" s="3">
        <f t="shared" si="36"/>
        <v>1176</v>
      </c>
      <c r="AO100" s="34">
        <f t="shared" si="123"/>
        <v>0.32953249714937288</v>
      </c>
      <c r="AQ100" s="1">
        <f t="shared" si="103"/>
        <v>43739</v>
      </c>
      <c r="AR100" s="53">
        <f t="shared" si="104"/>
        <v>4</v>
      </c>
    </row>
    <row r="101" spans="1:44">
      <c r="A101" s="1">
        <v>43770</v>
      </c>
      <c r="B101" s="3">
        <v>27</v>
      </c>
      <c r="C101">
        <v>24880</v>
      </c>
      <c r="D101">
        <v>14427</v>
      </c>
      <c r="G101">
        <f t="shared" si="66"/>
        <v>31573</v>
      </c>
      <c r="H101">
        <f t="shared" si="67"/>
        <v>943052</v>
      </c>
      <c r="I101">
        <f t="shared" si="68"/>
        <v>905419</v>
      </c>
      <c r="J101" s="1">
        <v>43770</v>
      </c>
      <c r="K101" s="3">
        <v>1203</v>
      </c>
      <c r="L101">
        <v>732</v>
      </c>
      <c r="M101" s="3">
        <f t="shared" si="78"/>
        <v>1935</v>
      </c>
      <c r="N101" s="3">
        <f t="shared" si="79"/>
        <v>1730.6666666666667</v>
      </c>
      <c r="O101" s="3">
        <f t="shared" si="106"/>
        <v>1659.1388888888887</v>
      </c>
      <c r="P101">
        <f t="shared" si="80"/>
        <v>117458</v>
      </c>
      <c r="Q101" s="4">
        <f t="shared" si="81"/>
        <v>7.7084489775068539</v>
      </c>
      <c r="R101" s="17">
        <f t="shared" si="82"/>
        <v>19889</v>
      </c>
      <c r="S101" s="6" t="s">
        <v>19</v>
      </c>
      <c r="T101" s="97">
        <f t="shared" si="83"/>
        <v>7.4558139534883718</v>
      </c>
      <c r="V101" s="5">
        <v>333</v>
      </c>
      <c r="W101" s="5">
        <v>468</v>
      </c>
      <c r="X101" s="5">
        <v>321</v>
      </c>
      <c r="Y101" s="5">
        <f t="shared" si="87"/>
        <v>789</v>
      </c>
      <c r="Z101" s="5">
        <f>V101*49</f>
        <v>16317</v>
      </c>
      <c r="AA101" s="38">
        <f t="shared" si="108"/>
        <v>15688</v>
      </c>
      <c r="AB101">
        <f t="shared" si="109"/>
        <v>21795</v>
      </c>
      <c r="AC101">
        <f t="shared" si="110"/>
        <v>13224</v>
      </c>
      <c r="AD101">
        <f t="shared" si="111"/>
        <v>35019</v>
      </c>
      <c r="AE101" s="39">
        <f>AD101/AA101</f>
        <v>2.23221570627231</v>
      </c>
      <c r="AF101" s="3">
        <f>SUM(V90:V101)</f>
        <v>3183</v>
      </c>
      <c r="AG101" s="3">
        <f t="shared" si="118"/>
        <v>4344</v>
      </c>
      <c r="AH101" s="3">
        <f t="shared" si="119"/>
        <v>2840</v>
      </c>
      <c r="AI101" s="3">
        <f t="shared" si="120"/>
        <v>7184</v>
      </c>
      <c r="AJ101" s="3">
        <f>SUM(Z90:Z101)</f>
        <v>127524</v>
      </c>
      <c r="AK101" s="1">
        <v>43770</v>
      </c>
      <c r="AL101" s="3">
        <f t="shared" si="122"/>
        <v>735</v>
      </c>
      <c r="AM101" s="3">
        <f t="shared" si="122"/>
        <v>411</v>
      </c>
      <c r="AN101" s="3">
        <f t="shared" si="36"/>
        <v>1146</v>
      </c>
      <c r="AO101" s="34">
        <f t="shared" si="123"/>
        <v>0.4077519379844961</v>
      </c>
      <c r="AQ101" s="1">
        <f t="shared" si="103"/>
        <v>43770</v>
      </c>
      <c r="AR101" s="53">
        <f t="shared" si="104"/>
        <v>-33</v>
      </c>
    </row>
    <row r="102" spans="1:44">
      <c r="A102" s="1">
        <v>43800</v>
      </c>
      <c r="B102" s="3">
        <v>27</v>
      </c>
      <c r="C102">
        <v>35734</v>
      </c>
      <c r="D102">
        <v>16042</v>
      </c>
      <c r="E102" s="48">
        <f>SUM(C91:C102)</f>
        <v>176384</v>
      </c>
      <c r="F102">
        <f>SUM(D91:D102)</f>
        <v>164365</v>
      </c>
      <c r="G102">
        <f t="shared" si="66"/>
        <v>51265</v>
      </c>
      <c r="H102">
        <f t="shared" si="67"/>
        <v>978786</v>
      </c>
      <c r="I102">
        <f>I101+D102</f>
        <v>921461</v>
      </c>
      <c r="J102" s="1">
        <v>43800</v>
      </c>
      <c r="K102" s="3">
        <f>192+843+7+1</f>
        <v>1043</v>
      </c>
      <c r="L102">
        <f>192+193+365+5</f>
        <v>755</v>
      </c>
      <c r="M102" s="3">
        <f>SUM(K102:L102)</f>
        <v>1798</v>
      </c>
      <c r="N102" s="3">
        <f>(M102+M101+M100)/3</f>
        <v>1829</v>
      </c>
      <c r="O102" s="3">
        <f t="shared" si="106"/>
        <v>1646.6944444444443</v>
      </c>
      <c r="P102" s="3">
        <f t="shared" ref="P102:P114" si="124">P101+M102</f>
        <v>119256</v>
      </c>
      <c r="Q102" s="4">
        <f t="shared" ref="Q102:Q114" si="125">I102/P102</f>
        <v>7.7267475011739455</v>
      </c>
      <c r="R102" s="49">
        <f t="shared" ref="R102:R107" si="126">SUM(M91:M102)</f>
        <v>19470</v>
      </c>
      <c r="S102" s="23">
        <v>2019</v>
      </c>
      <c r="T102" s="97">
        <f t="shared" si="83"/>
        <v>8.922135706340379</v>
      </c>
      <c r="V102" s="5">
        <v>265</v>
      </c>
      <c r="W102" s="5">
        <v>375</v>
      </c>
      <c r="X102" s="5">
        <v>274</v>
      </c>
      <c r="Y102" s="5">
        <f t="shared" si="87"/>
        <v>649</v>
      </c>
      <c r="Z102" s="5">
        <f>V102*49</f>
        <v>12985</v>
      </c>
      <c r="AA102" s="38">
        <f t="shared" si="108"/>
        <v>15953</v>
      </c>
      <c r="AB102">
        <f t="shared" si="109"/>
        <v>22170</v>
      </c>
      <c r="AC102">
        <f t="shared" si="110"/>
        <v>13498</v>
      </c>
      <c r="AD102">
        <f t="shared" si="111"/>
        <v>35668</v>
      </c>
      <c r="AE102" s="39">
        <f>AD102/AA102</f>
        <v>2.2358177145364508</v>
      </c>
      <c r="AF102" s="3">
        <f>SUM(V91:V102)</f>
        <v>3112</v>
      </c>
      <c r="AG102" s="3">
        <f t="shared" si="118"/>
        <v>4239</v>
      </c>
      <c r="AH102" s="3">
        <f t="shared" si="119"/>
        <v>2795</v>
      </c>
      <c r="AI102" s="3">
        <f t="shared" si="120"/>
        <v>7034</v>
      </c>
      <c r="AJ102" s="3">
        <f>SUM(Z91:Z102)</f>
        <v>124045</v>
      </c>
      <c r="AK102" s="1">
        <v>43800</v>
      </c>
      <c r="AL102" s="3">
        <f t="shared" si="122"/>
        <v>668</v>
      </c>
      <c r="AM102" s="3">
        <f t="shared" si="122"/>
        <v>481</v>
      </c>
      <c r="AN102" s="3">
        <f t="shared" si="36"/>
        <v>1149</v>
      </c>
      <c r="AO102" s="34">
        <f t="shared" si="123"/>
        <v>0.36095661846496108</v>
      </c>
      <c r="AQ102" s="1">
        <f t="shared" si="103"/>
        <v>43800</v>
      </c>
      <c r="AR102" s="53">
        <f t="shared" si="104"/>
        <v>-419</v>
      </c>
    </row>
    <row r="103" spans="1:44">
      <c r="A103" s="1">
        <v>43831</v>
      </c>
      <c r="B103" s="3">
        <v>27</v>
      </c>
      <c r="C103" s="3">
        <v>14205.01</v>
      </c>
      <c r="D103" s="3">
        <v>16704.8</v>
      </c>
      <c r="G103" s="3">
        <v>48290.96</v>
      </c>
      <c r="H103">
        <f t="shared" ref="H103:H121" si="127">H102+C103</f>
        <v>992991.01</v>
      </c>
      <c r="I103">
        <f t="shared" ref="I103:I121" si="128">I102+D103</f>
        <v>938165.8</v>
      </c>
      <c r="J103" s="1">
        <v>43831</v>
      </c>
      <c r="K103">
        <v>1084</v>
      </c>
      <c r="L103">
        <v>657</v>
      </c>
      <c r="M103" s="3">
        <f>SUM(K103:L103)</f>
        <v>1741</v>
      </c>
      <c r="N103" s="3">
        <f>(M103+M102+M101)/3</f>
        <v>1824.6666666666667</v>
      </c>
      <c r="O103" s="3">
        <f t="shared" si="106"/>
        <v>1621.4722222222224</v>
      </c>
      <c r="P103" s="3">
        <f t="shared" si="124"/>
        <v>120997</v>
      </c>
      <c r="Q103" s="4">
        <f t="shared" si="125"/>
        <v>7.753628602362042</v>
      </c>
      <c r="R103" s="17">
        <f t="shared" si="126"/>
        <v>19014</v>
      </c>
      <c r="S103" s="6" t="s">
        <v>19</v>
      </c>
      <c r="T103" s="97">
        <f t="shared" si="83"/>
        <v>9.5949454336588165</v>
      </c>
      <c r="V103" s="5">
        <v>269</v>
      </c>
      <c r="W103" s="101">
        <v>380</v>
      </c>
      <c r="X103" s="101">
        <v>280</v>
      </c>
      <c r="Y103" s="5">
        <f t="shared" si="87"/>
        <v>660</v>
      </c>
      <c r="Z103" s="5">
        <f t="shared" ref="Z103:Z105" si="129">V103*49</f>
        <v>13181</v>
      </c>
      <c r="AA103" s="38">
        <f t="shared" si="108"/>
        <v>16222</v>
      </c>
      <c r="AB103">
        <f t="shared" ref="AB103:AB111" si="130">AB102+W103</f>
        <v>22550</v>
      </c>
      <c r="AC103">
        <f t="shared" ref="AC103:AC111" si="131">AC102+X103</f>
        <v>13778</v>
      </c>
      <c r="AD103">
        <f t="shared" ref="AD103:AD111" si="132">AD102+Y103</f>
        <v>36328</v>
      </c>
      <c r="AE103" s="39">
        <f t="shared" ref="AE103:AE111" si="133">AD103/AA103</f>
        <v>2.2394279373690051</v>
      </c>
      <c r="AF103" s="3">
        <f t="shared" ref="AF103:AF116" si="134">SUM(V92:V103)</f>
        <v>2946</v>
      </c>
      <c r="AG103" s="3">
        <f t="shared" ref="AG103:AG116" si="135">SUM(W92:W103)</f>
        <v>3979</v>
      </c>
      <c r="AH103" s="3">
        <f t="shared" ref="AH103:AH116" si="136">SUM(X92:X103)</f>
        <v>2703</v>
      </c>
      <c r="AI103" s="3">
        <f t="shared" ref="AI103:AI116" si="137">SUM(Y92:Y103)</f>
        <v>6682</v>
      </c>
      <c r="AJ103" s="3">
        <f t="shared" ref="AJ103:AJ116" si="138">SUM(Z92:Z103)</f>
        <v>115911</v>
      </c>
      <c r="AK103" s="1">
        <v>43831</v>
      </c>
      <c r="AL103" s="3">
        <f t="shared" ref="AL103:AL111" si="139">K103-W103</f>
        <v>704</v>
      </c>
      <c r="AM103" s="3">
        <f t="shared" ref="AM103:AM111" si="140">L103-X103</f>
        <v>377</v>
      </c>
      <c r="AN103" s="3">
        <f t="shared" si="36"/>
        <v>1081</v>
      </c>
      <c r="AO103" s="34">
        <f t="shared" ref="AO103:AO111" si="141">Y103/(AN103+Y103)</f>
        <v>0.37909247558874209</v>
      </c>
      <c r="AQ103" s="1">
        <f t="shared" si="103"/>
        <v>43831</v>
      </c>
      <c r="AR103" s="53">
        <f t="shared" si="104"/>
        <v>-456</v>
      </c>
    </row>
    <row r="104" spans="1:44">
      <c r="A104" s="1">
        <v>43862</v>
      </c>
      <c r="B104" s="3">
        <v>23</v>
      </c>
      <c r="C104" s="3">
        <v>9122.2999999999993</v>
      </c>
      <c r="D104" s="3">
        <v>11838.35</v>
      </c>
      <c r="G104" s="3">
        <f t="shared" ref="G104:G108" si="142">G103+C104-D104</f>
        <v>45574.909999999996</v>
      </c>
      <c r="H104">
        <f t="shared" si="127"/>
        <v>1002113.31</v>
      </c>
      <c r="I104">
        <f>I103+D104</f>
        <v>950004.15</v>
      </c>
      <c r="J104" s="1">
        <v>43862</v>
      </c>
      <c r="K104" s="3">
        <f>122+631+9</f>
        <v>762</v>
      </c>
      <c r="L104" s="3">
        <f>145+119+193</f>
        <v>457</v>
      </c>
      <c r="M104" s="3">
        <f>SUM(K104:L104)</f>
        <v>1219</v>
      </c>
      <c r="N104" s="3">
        <f>(M104+M103+M102)/3</f>
        <v>1586</v>
      </c>
      <c r="O104" s="3">
        <f t="shared" si="106"/>
        <v>1582.75</v>
      </c>
      <c r="P104" s="3">
        <f t="shared" si="124"/>
        <v>122216</v>
      </c>
      <c r="Q104" s="4">
        <f t="shared" si="125"/>
        <v>7.7731569516266283</v>
      </c>
      <c r="R104" s="17">
        <f t="shared" si="126"/>
        <v>18495</v>
      </c>
      <c r="S104" s="6" t="s">
        <v>19</v>
      </c>
      <c r="T104" s="97">
        <f t="shared" si="83"/>
        <v>9.7115258408531595</v>
      </c>
      <c r="V104" s="5">
        <v>170</v>
      </c>
      <c r="W104" s="101">
        <v>212</v>
      </c>
      <c r="X104" s="101">
        <v>135</v>
      </c>
      <c r="Y104" s="5">
        <f t="shared" si="87"/>
        <v>347</v>
      </c>
      <c r="Z104" s="5">
        <f t="shared" si="129"/>
        <v>8330</v>
      </c>
      <c r="AA104" s="38">
        <f t="shared" si="108"/>
        <v>16392</v>
      </c>
      <c r="AB104">
        <f t="shared" si="130"/>
        <v>22762</v>
      </c>
      <c r="AC104">
        <f t="shared" si="131"/>
        <v>13913</v>
      </c>
      <c r="AD104">
        <f t="shared" si="132"/>
        <v>36675</v>
      </c>
      <c r="AE104" s="39">
        <f t="shared" si="133"/>
        <v>2.2373718887262077</v>
      </c>
      <c r="AF104" s="3">
        <f t="shared" si="134"/>
        <v>2771</v>
      </c>
      <c r="AG104" s="3">
        <f t="shared" si="135"/>
        <v>3712</v>
      </c>
      <c r="AH104" s="3">
        <f t="shared" si="136"/>
        <v>2545</v>
      </c>
      <c r="AI104" s="3">
        <f t="shared" si="137"/>
        <v>6257</v>
      </c>
      <c r="AJ104" s="3">
        <f t="shared" si="138"/>
        <v>107336</v>
      </c>
      <c r="AK104" s="1">
        <v>43862</v>
      </c>
      <c r="AL104" s="3">
        <f t="shared" si="139"/>
        <v>550</v>
      </c>
      <c r="AM104" s="3">
        <f t="shared" si="140"/>
        <v>322</v>
      </c>
      <c r="AN104" s="3">
        <f t="shared" si="36"/>
        <v>872</v>
      </c>
      <c r="AO104" s="34">
        <f t="shared" si="141"/>
        <v>0.28465955701394585</v>
      </c>
      <c r="AQ104" s="1">
        <f t="shared" si="103"/>
        <v>43862</v>
      </c>
      <c r="AR104" s="53">
        <f t="shared" si="104"/>
        <v>-519</v>
      </c>
    </row>
    <row r="105" spans="1:44">
      <c r="A105" s="1">
        <v>43891</v>
      </c>
      <c r="B105" s="3">
        <v>23</v>
      </c>
      <c r="C105" s="3">
        <v>12907.84</v>
      </c>
      <c r="D105" s="3">
        <v>14587.82</v>
      </c>
      <c r="E105">
        <f>SUM(C94:C105)</f>
        <v>177459.15</v>
      </c>
      <c r="F105">
        <f>SUM(D94:D105)</f>
        <v>163907.97</v>
      </c>
      <c r="G105" s="3">
        <f t="shared" si="142"/>
        <v>43894.93</v>
      </c>
      <c r="H105">
        <f t="shared" si="127"/>
        <v>1015021.15</v>
      </c>
      <c r="I105">
        <f t="shared" si="128"/>
        <v>964591.97</v>
      </c>
      <c r="J105" s="1">
        <v>43891</v>
      </c>
      <c r="K105" s="3">
        <v>910</v>
      </c>
      <c r="L105" s="3">
        <v>574</v>
      </c>
      <c r="M105" s="3">
        <f>SUM(K105:L105)</f>
        <v>1484</v>
      </c>
      <c r="N105" s="3">
        <f>(M105+M104+M103)/3</f>
        <v>1481.3333333333333</v>
      </c>
      <c r="O105" s="3">
        <f>SUM(N94:N105)/12</f>
        <v>1554.4444444444443</v>
      </c>
      <c r="P105" s="3">
        <f t="shared" si="124"/>
        <v>123700</v>
      </c>
      <c r="Q105" s="4">
        <f t="shared" si="125"/>
        <v>7.7978332255456744</v>
      </c>
      <c r="R105" s="41">
        <f t="shared" si="126"/>
        <v>18451</v>
      </c>
      <c r="S105" s="85" t="s">
        <v>54</v>
      </c>
      <c r="T105" s="97">
        <f t="shared" si="83"/>
        <v>9.8300673854447442</v>
      </c>
      <c r="V105" s="53">
        <v>119</v>
      </c>
      <c r="W105" s="53">
        <v>165</v>
      </c>
      <c r="X105" s="53">
        <v>116</v>
      </c>
      <c r="Y105" s="5">
        <f t="shared" si="87"/>
        <v>281</v>
      </c>
      <c r="Z105" s="5">
        <f t="shared" si="129"/>
        <v>5831</v>
      </c>
      <c r="AA105" s="38">
        <f t="shared" si="108"/>
        <v>16511</v>
      </c>
      <c r="AB105">
        <f t="shared" si="130"/>
        <v>22927</v>
      </c>
      <c r="AC105">
        <f t="shared" si="131"/>
        <v>14029</v>
      </c>
      <c r="AD105">
        <f t="shared" si="132"/>
        <v>36956</v>
      </c>
      <c r="AE105" s="39">
        <f t="shared" si="133"/>
        <v>2.2382653988250256</v>
      </c>
      <c r="AF105" s="3">
        <f t="shared" si="134"/>
        <v>2653</v>
      </c>
      <c r="AG105" s="3">
        <f t="shared" si="135"/>
        <v>3556</v>
      </c>
      <c r="AH105" s="3">
        <f t="shared" si="136"/>
        <v>2438</v>
      </c>
      <c r="AI105" s="3">
        <f t="shared" si="137"/>
        <v>5994</v>
      </c>
      <c r="AJ105" s="3">
        <f t="shared" si="138"/>
        <v>101554</v>
      </c>
      <c r="AK105" s="1">
        <v>43891</v>
      </c>
      <c r="AL105" s="3">
        <f t="shared" si="139"/>
        <v>745</v>
      </c>
      <c r="AM105" s="3">
        <f t="shared" si="140"/>
        <v>458</v>
      </c>
      <c r="AN105" s="3">
        <f t="shared" si="36"/>
        <v>1203</v>
      </c>
      <c r="AO105" s="34">
        <f t="shared" si="141"/>
        <v>0.18935309973045822</v>
      </c>
      <c r="AQ105" s="1">
        <f t="shared" si="103"/>
        <v>43891</v>
      </c>
      <c r="AR105" s="53">
        <f t="shared" si="104"/>
        <v>-44</v>
      </c>
    </row>
    <row r="106" spans="1:44">
      <c r="A106" s="1">
        <v>43922</v>
      </c>
      <c r="B106" s="3">
        <v>23</v>
      </c>
      <c r="C106" s="3">
        <v>19439.63</v>
      </c>
      <c r="D106" s="3">
        <v>25324.41</v>
      </c>
      <c r="G106" s="3">
        <f t="shared" si="142"/>
        <v>38010.149999999994</v>
      </c>
      <c r="H106">
        <f t="shared" si="127"/>
        <v>1034460.78</v>
      </c>
      <c r="I106">
        <f t="shared" si="128"/>
        <v>989916.38</v>
      </c>
      <c r="J106" s="1">
        <v>43922</v>
      </c>
      <c r="K106" s="3">
        <v>1113</v>
      </c>
      <c r="L106" s="3">
        <v>713</v>
      </c>
      <c r="M106" s="3">
        <f>SUM(K106:L106)</f>
        <v>1826</v>
      </c>
      <c r="N106" s="3">
        <f>(M106+M105+M104)/3</f>
        <v>1509.6666666666667</v>
      </c>
      <c r="O106" s="3">
        <f>SUM(N95:N106)/12</f>
        <v>1549.0277777777776</v>
      </c>
      <c r="P106" s="3">
        <f t="shared" si="124"/>
        <v>125526</v>
      </c>
      <c r="Q106" s="4">
        <f t="shared" si="125"/>
        <v>7.8861461370552712</v>
      </c>
      <c r="R106" s="17">
        <f t="shared" si="126"/>
        <v>18819</v>
      </c>
      <c r="S106" s="6" t="s">
        <v>19</v>
      </c>
      <c r="T106" s="97">
        <f t="shared" si="83"/>
        <v>13.868789704271633</v>
      </c>
      <c r="V106" s="53">
        <v>0</v>
      </c>
      <c r="W106" s="53">
        <v>0</v>
      </c>
      <c r="X106" s="53">
        <v>0</v>
      </c>
      <c r="Y106" s="5">
        <f t="shared" si="87"/>
        <v>0</v>
      </c>
      <c r="Z106" s="5">
        <f>V106*30</f>
        <v>0</v>
      </c>
      <c r="AA106" s="38">
        <f t="shared" si="108"/>
        <v>16511</v>
      </c>
      <c r="AB106">
        <f t="shared" si="130"/>
        <v>22927</v>
      </c>
      <c r="AC106">
        <f t="shared" si="131"/>
        <v>14029</v>
      </c>
      <c r="AD106">
        <f t="shared" si="132"/>
        <v>36956</v>
      </c>
      <c r="AE106" s="39">
        <f t="shared" si="133"/>
        <v>2.2382653988250256</v>
      </c>
      <c r="AF106" s="3">
        <f t="shared" si="134"/>
        <v>2439</v>
      </c>
      <c r="AG106" s="3">
        <f t="shared" si="135"/>
        <v>3259</v>
      </c>
      <c r="AH106" s="3">
        <f t="shared" si="136"/>
        <v>2251</v>
      </c>
      <c r="AI106" s="3">
        <f t="shared" si="137"/>
        <v>5510</v>
      </c>
      <c r="AJ106" s="3">
        <f t="shared" si="138"/>
        <v>95134</v>
      </c>
      <c r="AK106" s="1">
        <v>43922</v>
      </c>
      <c r="AL106" s="3">
        <f t="shared" si="139"/>
        <v>1113</v>
      </c>
      <c r="AM106" s="3">
        <f t="shared" si="140"/>
        <v>713</v>
      </c>
      <c r="AN106" s="3">
        <f t="shared" si="36"/>
        <v>1826</v>
      </c>
      <c r="AO106" s="34">
        <f t="shared" si="141"/>
        <v>0</v>
      </c>
      <c r="AQ106" s="1">
        <f t="shared" si="103"/>
        <v>43922</v>
      </c>
      <c r="AR106" s="53">
        <f t="shared" si="104"/>
        <v>368</v>
      </c>
    </row>
    <row r="107" spans="1:44">
      <c r="A107" s="1">
        <v>43952</v>
      </c>
      <c r="B107" s="3">
        <v>23</v>
      </c>
      <c r="C107" s="3">
        <v>22078.93</v>
      </c>
      <c r="D107" s="3">
        <v>15777.18</v>
      </c>
      <c r="G107" s="3">
        <f t="shared" si="142"/>
        <v>44311.899999999994</v>
      </c>
      <c r="H107">
        <f t="shared" si="127"/>
        <v>1056539.71</v>
      </c>
      <c r="I107">
        <f t="shared" si="128"/>
        <v>1005693.56</v>
      </c>
      <c r="J107" s="1">
        <v>43952</v>
      </c>
      <c r="K107">
        <v>827</v>
      </c>
      <c r="L107">
        <v>448</v>
      </c>
      <c r="M107" s="3">
        <f t="shared" ref="M107:M114" si="143">SUM(K107:L107)</f>
        <v>1275</v>
      </c>
      <c r="N107" s="3">
        <f t="shared" ref="N107:N114" si="144">(M107+M106+M105)/3</f>
        <v>1528.3333333333333</v>
      </c>
      <c r="O107" s="3">
        <f t="shared" ref="O107:O114" si="145">SUM(N96:N107)/12</f>
        <v>1551</v>
      </c>
      <c r="P107" s="3">
        <f t="shared" si="124"/>
        <v>126801</v>
      </c>
      <c r="Q107" s="4">
        <f t="shared" si="125"/>
        <v>7.9312746744899494</v>
      </c>
      <c r="R107" s="17">
        <f t="shared" si="126"/>
        <v>18566</v>
      </c>
      <c r="S107" s="6" t="s">
        <v>19</v>
      </c>
      <c r="T107" s="97">
        <f t="shared" si="83"/>
        <v>12.374258823529413</v>
      </c>
      <c r="V107" s="5">
        <v>0</v>
      </c>
      <c r="W107" s="5">
        <v>0</v>
      </c>
      <c r="X107" s="5">
        <v>0</v>
      </c>
      <c r="Y107" s="5">
        <f t="shared" si="87"/>
        <v>0</v>
      </c>
      <c r="Z107" s="5">
        <f t="shared" ref="Z107:Z111" si="146">V107*30</f>
        <v>0</v>
      </c>
      <c r="AA107" s="38">
        <f t="shared" si="108"/>
        <v>16511</v>
      </c>
      <c r="AB107">
        <f t="shared" si="130"/>
        <v>22927</v>
      </c>
      <c r="AC107">
        <f t="shared" si="131"/>
        <v>14029</v>
      </c>
      <c r="AD107">
        <f t="shared" si="132"/>
        <v>36956</v>
      </c>
      <c r="AE107" s="39">
        <f t="shared" si="133"/>
        <v>2.2382653988250256</v>
      </c>
      <c r="AF107" s="3">
        <f t="shared" si="134"/>
        <v>2215</v>
      </c>
      <c r="AG107" s="3">
        <f t="shared" si="135"/>
        <v>2955</v>
      </c>
      <c r="AH107" s="3">
        <f t="shared" si="136"/>
        <v>2067</v>
      </c>
      <c r="AI107" s="3">
        <f t="shared" si="137"/>
        <v>5022</v>
      </c>
      <c r="AJ107" s="3">
        <f t="shared" si="138"/>
        <v>88414</v>
      </c>
      <c r="AK107" s="1">
        <v>43952</v>
      </c>
      <c r="AL107" s="3">
        <f t="shared" si="139"/>
        <v>827</v>
      </c>
      <c r="AM107" s="3">
        <f t="shared" si="140"/>
        <v>448</v>
      </c>
      <c r="AN107" s="3">
        <f t="shared" si="36"/>
        <v>1275</v>
      </c>
      <c r="AO107" s="34">
        <f t="shared" si="141"/>
        <v>0</v>
      </c>
      <c r="AQ107" s="1">
        <f t="shared" si="103"/>
        <v>43952</v>
      </c>
      <c r="AR107" s="53">
        <f t="shared" si="104"/>
        <v>-253</v>
      </c>
    </row>
    <row r="108" spans="1:44">
      <c r="A108" s="1">
        <v>43983</v>
      </c>
      <c r="B108" s="3">
        <v>23</v>
      </c>
      <c r="C108" s="3">
        <v>24236.18</v>
      </c>
      <c r="D108" s="3">
        <v>12672.45</v>
      </c>
      <c r="G108" s="3">
        <f t="shared" si="142"/>
        <v>55875.62999999999</v>
      </c>
      <c r="H108">
        <f t="shared" si="127"/>
        <v>1080775.8899999999</v>
      </c>
      <c r="I108">
        <f t="shared" si="128"/>
        <v>1018366.01</v>
      </c>
      <c r="J108" s="1">
        <v>43983</v>
      </c>
      <c r="K108">
        <v>622</v>
      </c>
      <c r="L108" s="3">
        <v>278</v>
      </c>
      <c r="M108" s="3">
        <f t="shared" si="143"/>
        <v>900</v>
      </c>
      <c r="N108" s="3">
        <f t="shared" si="144"/>
        <v>1333.6666666666667</v>
      </c>
      <c r="O108" s="3">
        <f t="shared" si="145"/>
        <v>1545.0833333333333</v>
      </c>
      <c r="P108" s="3">
        <f t="shared" si="124"/>
        <v>127701</v>
      </c>
      <c r="Q108" s="4">
        <f t="shared" si="125"/>
        <v>7.9746126498617862</v>
      </c>
      <c r="R108" s="17">
        <f t="shared" ref="R108:R114" si="147">SUM(M97:M108)</f>
        <v>18238</v>
      </c>
      <c r="S108" s="6" t="s">
        <v>19</v>
      </c>
      <c r="T108" s="97">
        <f t="shared" si="83"/>
        <v>14.080500000000001</v>
      </c>
      <c r="V108" s="100">
        <v>3</v>
      </c>
      <c r="W108" s="5">
        <v>4</v>
      </c>
      <c r="X108" s="5">
        <v>1</v>
      </c>
      <c r="Y108" s="5">
        <f t="shared" si="87"/>
        <v>5</v>
      </c>
      <c r="Z108" s="5">
        <f t="shared" si="146"/>
        <v>90</v>
      </c>
      <c r="AA108" s="38">
        <f t="shared" si="108"/>
        <v>16514</v>
      </c>
      <c r="AB108">
        <f t="shared" si="130"/>
        <v>22931</v>
      </c>
      <c r="AC108">
        <f t="shared" si="131"/>
        <v>14030</v>
      </c>
      <c r="AD108">
        <f t="shared" si="132"/>
        <v>36961</v>
      </c>
      <c r="AE108" s="39">
        <f t="shared" si="133"/>
        <v>2.2381615598885793</v>
      </c>
      <c r="AF108" s="3">
        <f t="shared" si="134"/>
        <v>2025</v>
      </c>
      <c r="AG108" s="3">
        <f t="shared" si="135"/>
        <v>2772</v>
      </c>
      <c r="AH108" s="3">
        <f t="shared" si="136"/>
        <v>1960</v>
      </c>
      <c r="AI108" s="3">
        <f t="shared" si="137"/>
        <v>4732</v>
      </c>
      <c r="AJ108" s="3">
        <f t="shared" si="138"/>
        <v>82714</v>
      </c>
      <c r="AK108" s="1">
        <v>43983</v>
      </c>
      <c r="AL108" s="3">
        <f t="shared" si="139"/>
        <v>618</v>
      </c>
      <c r="AM108" s="3">
        <f t="shared" si="140"/>
        <v>277</v>
      </c>
      <c r="AN108" s="3">
        <f t="shared" si="36"/>
        <v>895</v>
      </c>
      <c r="AO108" s="34">
        <f t="shared" si="141"/>
        <v>5.5555555555555558E-3</v>
      </c>
      <c r="AQ108" s="1">
        <f t="shared" si="103"/>
        <v>43983</v>
      </c>
      <c r="AR108" s="53">
        <f t="shared" si="104"/>
        <v>-328</v>
      </c>
    </row>
    <row r="109" spans="1:44">
      <c r="A109" s="1">
        <v>44013</v>
      </c>
      <c r="B109" s="3">
        <v>23</v>
      </c>
      <c r="C109" s="3">
        <v>15980.95</v>
      </c>
      <c r="D109" s="3">
        <v>11845.11</v>
      </c>
      <c r="G109" s="3">
        <f>G108+C109-D109</f>
        <v>60011.469999999987</v>
      </c>
      <c r="H109">
        <f t="shared" si="127"/>
        <v>1096756.8399999999</v>
      </c>
      <c r="I109">
        <f t="shared" si="128"/>
        <v>1030211.12</v>
      </c>
      <c r="J109" s="1">
        <v>44013</v>
      </c>
      <c r="K109" s="3">
        <v>405</v>
      </c>
      <c r="L109" s="3">
        <v>166</v>
      </c>
      <c r="M109" s="3">
        <f t="shared" si="143"/>
        <v>571</v>
      </c>
      <c r="N109" s="3">
        <f t="shared" si="144"/>
        <v>915.33333333333337</v>
      </c>
      <c r="O109" s="3">
        <f t="shared" si="145"/>
        <v>1506.3888888888889</v>
      </c>
      <c r="P109" s="3">
        <f t="shared" si="124"/>
        <v>128272</v>
      </c>
      <c r="Q109" s="4">
        <f t="shared" si="125"/>
        <v>8.0314575277535241</v>
      </c>
      <c r="R109" s="17">
        <f t="shared" si="147"/>
        <v>17426</v>
      </c>
      <c r="S109" s="6" t="s">
        <v>19</v>
      </c>
      <c r="T109" s="97">
        <f t="shared" si="83"/>
        <v>20.744500875656744</v>
      </c>
      <c r="V109" s="100">
        <v>0</v>
      </c>
      <c r="W109" s="5">
        <v>0</v>
      </c>
      <c r="X109" s="5">
        <v>0</v>
      </c>
      <c r="Y109" s="5">
        <f t="shared" si="87"/>
        <v>0</v>
      </c>
      <c r="Z109" s="5">
        <f t="shared" si="146"/>
        <v>0</v>
      </c>
      <c r="AA109" s="38">
        <f t="shared" si="108"/>
        <v>16514</v>
      </c>
      <c r="AB109">
        <f t="shared" si="130"/>
        <v>22931</v>
      </c>
      <c r="AC109">
        <f t="shared" si="131"/>
        <v>14030</v>
      </c>
      <c r="AD109">
        <f t="shared" si="132"/>
        <v>36961</v>
      </c>
      <c r="AE109" s="39">
        <f t="shared" si="133"/>
        <v>2.2381615598885793</v>
      </c>
      <c r="AF109" s="3">
        <f t="shared" si="134"/>
        <v>1820</v>
      </c>
      <c r="AG109" s="3">
        <f t="shared" si="135"/>
        <v>2508</v>
      </c>
      <c r="AH109" s="3">
        <f t="shared" si="136"/>
        <v>1747</v>
      </c>
      <c r="AI109" s="3">
        <f t="shared" si="137"/>
        <v>4255</v>
      </c>
      <c r="AJ109" s="3">
        <f t="shared" si="138"/>
        <v>76564</v>
      </c>
      <c r="AK109" s="1">
        <v>44013</v>
      </c>
      <c r="AL109" s="3">
        <f t="shared" si="139"/>
        <v>405</v>
      </c>
      <c r="AM109" s="3">
        <f t="shared" si="140"/>
        <v>166</v>
      </c>
      <c r="AN109" s="3">
        <f t="shared" si="36"/>
        <v>571</v>
      </c>
      <c r="AO109" s="34">
        <f t="shared" si="141"/>
        <v>0</v>
      </c>
      <c r="AQ109" s="1">
        <f t="shared" si="103"/>
        <v>44013</v>
      </c>
      <c r="AR109" s="53">
        <f t="shared" si="104"/>
        <v>-812</v>
      </c>
    </row>
    <row r="110" spans="1:44">
      <c r="A110" s="1">
        <v>44044</v>
      </c>
      <c r="B110" s="3">
        <v>23</v>
      </c>
      <c r="C110" s="3">
        <v>7865.19</v>
      </c>
      <c r="D110" s="3">
        <v>32605.51</v>
      </c>
      <c r="G110" s="3">
        <f>G109+C110-D110</f>
        <v>35271.149999999994</v>
      </c>
      <c r="H110">
        <f t="shared" si="127"/>
        <v>1104622.0299999998</v>
      </c>
      <c r="I110">
        <f t="shared" si="128"/>
        <v>1062816.6299999999</v>
      </c>
      <c r="J110" s="1">
        <v>44044</v>
      </c>
      <c r="K110">
        <v>387</v>
      </c>
      <c r="L110">
        <v>227</v>
      </c>
      <c r="M110" s="3">
        <f t="shared" si="143"/>
        <v>614</v>
      </c>
      <c r="N110" s="3">
        <f t="shared" si="144"/>
        <v>695</v>
      </c>
      <c r="O110" s="3">
        <f t="shared" si="145"/>
        <v>1452.3333333333333</v>
      </c>
      <c r="P110" s="3">
        <f t="shared" si="124"/>
        <v>128886</v>
      </c>
      <c r="Q110" s="4">
        <f t="shared" si="125"/>
        <v>8.2461759229086162</v>
      </c>
      <c r="R110" s="17">
        <f t="shared" si="147"/>
        <v>16620</v>
      </c>
      <c r="S110" s="6" t="s">
        <v>19</v>
      </c>
      <c r="T110" s="97">
        <f t="shared" si="83"/>
        <v>53.103436482084689</v>
      </c>
      <c r="V110" s="100">
        <v>14</v>
      </c>
      <c r="W110" s="5">
        <v>15</v>
      </c>
      <c r="X110" s="5">
        <v>20</v>
      </c>
      <c r="Y110" s="5">
        <f t="shared" si="87"/>
        <v>35</v>
      </c>
      <c r="Z110" s="5">
        <f t="shared" si="146"/>
        <v>420</v>
      </c>
      <c r="AA110" s="38">
        <f t="shared" si="108"/>
        <v>16528</v>
      </c>
      <c r="AB110">
        <f t="shared" si="130"/>
        <v>22946</v>
      </c>
      <c r="AC110">
        <f t="shared" si="131"/>
        <v>14050</v>
      </c>
      <c r="AD110">
        <f t="shared" si="132"/>
        <v>36996</v>
      </c>
      <c r="AE110" s="39">
        <f t="shared" si="133"/>
        <v>2.2383833494675702</v>
      </c>
      <c r="AF110" s="3">
        <f t="shared" si="134"/>
        <v>1632</v>
      </c>
      <c r="AG110" s="3">
        <f t="shared" si="135"/>
        <v>2258</v>
      </c>
      <c r="AH110" s="3">
        <f t="shared" si="136"/>
        <v>1582</v>
      </c>
      <c r="AI110" s="3">
        <f t="shared" si="137"/>
        <v>3840</v>
      </c>
      <c r="AJ110" s="3">
        <f t="shared" si="138"/>
        <v>70924</v>
      </c>
      <c r="AK110" s="1">
        <v>44044</v>
      </c>
      <c r="AL110" s="3">
        <f t="shared" si="139"/>
        <v>372</v>
      </c>
      <c r="AM110" s="3">
        <f t="shared" si="140"/>
        <v>207</v>
      </c>
      <c r="AN110" s="3">
        <f t="shared" si="36"/>
        <v>579</v>
      </c>
      <c r="AO110" s="34">
        <f t="shared" si="141"/>
        <v>5.7003257328990226E-2</v>
      </c>
      <c r="AQ110" s="1">
        <f t="shared" si="103"/>
        <v>44044</v>
      </c>
      <c r="AR110" s="53">
        <f t="shared" si="104"/>
        <v>-806</v>
      </c>
    </row>
    <row r="111" spans="1:44">
      <c r="A111" s="1">
        <v>44075</v>
      </c>
      <c r="B111" s="3">
        <v>23</v>
      </c>
      <c r="C111" s="3">
        <v>10923.56</v>
      </c>
      <c r="D111" s="3">
        <v>8371.52</v>
      </c>
      <c r="G111" s="3">
        <f t="shared" ref="G111:G132" si="148">G110+C111-D111</f>
        <v>37823.189999999988</v>
      </c>
      <c r="H111">
        <f t="shared" si="127"/>
        <v>1115545.5899999999</v>
      </c>
      <c r="I111">
        <f t="shared" si="128"/>
        <v>1071188.1499999999</v>
      </c>
      <c r="J111" s="1">
        <v>44075</v>
      </c>
      <c r="K111">
        <f>63+431+4+1</f>
        <v>499</v>
      </c>
      <c r="L111">
        <f>91+78+143+7</f>
        <v>319</v>
      </c>
      <c r="M111" s="3">
        <f t="shared" si="143"/>
        <v>818</v>
      </c>
      <c r="N111" s="3">
        <f t="shared" si="144"/>
        <v>667.66666666666663</v>
      </c>
      <c r="O111" s="3">
        <f t="shared" si="145"/>
        <v>1388.3611111111113</v>
      </c>
      <c r="P111" s="3">
        <f t="shared" si="124"/>
        <v>129704</v>
      </c>
      <c r="Q111" s="4">
        <f t="shared" si="125"/>
        <v>8.2587133010547085</v>
      </c>
      <c r="R111" s="17">
        <f t="shared" si="147"/>
        <v>15935</v>
      </c>
      <c r="S111" s="6" t="s">
        <v>19</v>
      </c>
      <c r="T111" s="97">
        <f t="shared" si="83"/>
        <v>10.234132029339854</v>
      </c>
      <c r="V111" s="100">
        <v>22</v>
      </c>
      <c r="W111" s="5">
        <v>28</v>
      </c>
      <c r="X111" s="5">
        <v>19</v>
      </c>
      <c r="Y111" s="5">
        <f t="shared" si="87"/>
        <v>47</v>
      </c>
      <c r="Z111" s="5">
        <f t="shared" si="146"/>
        <v>660</v>
      </c>
      <c r="AA111" s="38">
        <f t="shared" si="108"/>
        <v>16550</v>
      </c>
      <c r="AB111">
        <f t="shared" si="130"/>
        <v>22974</v>
      </c>
      <c r="AC111">
        <f t="shared" si="131"/>
        <v>14069</v>
      </c>
      <c r="AD111">
        <f t="shared" si="132"/>
        <v>37043</v>
      </c>
      <c r="AE111" s="39">
        <f t="shared" si="133"/>
        <v>2.2382477341389726</v>
      </c>
      <c r="AF111" s="3">
        <f t="shared" si="134"/>
        <v>1446</v>
      </c>
      <c r="AG111" s="3">
        <f t="shared" si="135"/>
        <v>1992</v>
      </c>
      <c r="AH111" s="3">
        <f t="shared" si="136"/>
        <v>1399</v>
      </c>
      <c r="AI111" s="3">
        <f t="shared" si="137"/>
        <v>3391</v>
      </c>
      <c r="AJ111" s="3">
        <f t="shared" si="138"/>
        <v>65344</v>
      </c>
      <c r="AK111" s="1">
        <v>44075</v>
      </c>
      <c r="AL111" s="3">
        <f t="shared" si="139"/>
        <v>471</v>
      </c>
      <c r="AM111" s="3">
        <f t="shared" si="140"/>
        <v>300</v>
      </c>
      <c r="AN111" s="3">
        <f t="shared" ref="AN111:AN127" si="149">AL111+AM111</f>
        <v>771</v>
      </c>
      <c r="AO111" s="34">
        <f t="shared" si="141"/>
        <v>5.7457212713936431E-2</v>
      </c>
      <c r="AQ111" s="1">
        <f t="shared" si="103"/>
        <v>44075</v>
      </c>
      <c r="AR111" s="53">
        <f t="shared" ref="AR111:AR112" si="150">M111-M99</f>
        <v>-685</v>
      </c>
    </row>
    <row r="112" spans="1:44">
      <c r="A112" s="1">
        <v>44105</v>
      </c>
      <c r="B112" s="3">
        <v>23</v>
      </c>
      <c r="C112" s="3">
        <v>17610.98</v>
      </c>
      <c r="D112" s="3">
        <v>17551.5</v>
      </c>
      <c r="G112" s="3">
        <f t="shared" si="148"/>
        <v>37882.669999999984</v>
      </c>
      <c r="H112">
        <f t="shared" si="127"/>
        <v>1133156.5699999998</v>
      </c>
      <c r="I112">
        <f t="shared" si="128"/>
        <v>1088739.6499999999</v>
      </c>
      <c r="J112" s="1">
        <v>44105</v>
      </c>
      <c r="K112">
        <f>65+492+11</f>
        <v>568</v>
      </c>
      <c r="L112">
        <f>93+83+143+4</f>
        <v>323</v>
      </c>
      <c r="M112" s="3">
        <f t="shared" si="143"/>
        <v>891</v>
      </c>
      <c r="N112" s="3">
        <f t="shared" si="144"/>
        <v>774.33333333333337</v>
      </c>
      <c r="O112" s="3">
        <f t="shared" si="145"/>
        <v>1322.9722222222224</v>
      </c>
      <c r="P112" s="3">
        <f t="shared" si="124"/>
        <v>130595</v>
      </c>
      <c r="Q112" s="4">
        <f t="shared" si="125"/>
        <v>8.3367636586393044</v>
      </c>
      <c r="R112" s="17">
        <f t="shared" si="147"/>
        <v>15072</v>
      </c>
      <c r="S112" s="84" t="s">
        <v>55</v>
      </c>
      <c r="T112" s="97">
        <f t="shared" si="83"/>
        <v>19.698653198653197</v>
      </c>
      <c r="V112" s="100">
        <v>47</v>
      </c>
      <c r="W112" s="5">
        <v>65</v>
      </c>
      <c r="X112" s="5">
        <v>40</v>
      </c>
      <c r="Y112" s="5">
        <f t="shared" si="87"/>
        <v>105</v>
      </c>
      <c r="Z112" s="5">
        <f>V112*49</f>
        <v>2303</v>
      </c>
      <c r="AA112" s="38">
        <f t="shared" ref="AA112:AA116" si="151">AA111+V112</f>
        <v>16597</v>
      </c>
      <c r="AB112">
        <f t="shared" ref="AB112:AB116" si="152">AB111+W112</f>
        <v>23039</v>
      </c>
      <c r="AC112">
        <f t="shared" ref="AC112:AC116" si="153">AC111+X112</f>
        <v>14109</v>
      </c>
      <c r="AD112">
        <f t="shared" ref="AD112:AD116" si="154">AD111+Y112</f>
        <v>37148</v>
      </c>
      <c r="AE112" s="39">
        <f t="shared" ref="AE112:AE116" si="155">AD112/AA112</f>
        <v>2.2382358257516417</v>
      </c>
      <c r="AF112" s="3">
        <f t="shared" si="134"/>
        <v>1242</v>
      </c>
      <c r="AG112" s="3">
        <f t="shared" si="135"/>
        <v>1712</v>
      </c>
      <c r="AH112" s="3">
        <f t="shared" si="136"/>
        <v>1206</v>
      </c>
      <c r="AI112" s="3">
        <f t="shared" si="137"/>
        <v>2918</v>
      </c>
      <c r="AJ112" s="3">
        <f t="shared" si="138"/>
        <v>60117</v>
      </c>
      <c r="AK112" s="1">
        <v>44105</v>
      </c>
      <c r="AL112" s="3">
        <f t="shared" ref="AL112:AL117" si="156">K112-W112</f>
        <v>503</v>
      </c>
      <c r="AM112" s="3">
        <f t="shared" ref="AM112:AM117" si="157">L112-X112</f>
        <v>283</v>
      </c>
      <c r="AN112" s="3">
        <f t="shared" si="149"/>
        <v>786</v>
      </c>
      <c r="AO112" s="34">
        <f t="shared" ref="AO112:AO117" si="158">Y112/(AN112+Y112)</f>
        <v>0.11784511784511785</v>
      </c>
      <c r="AQ112" s="1">
        <f t="shared" si="103"/>
        <v>44105</v>
      </c>
      <c r="AR112" s="53">
        <f t="shared" si="150"/>
        <v>-863</v>
      </c>
    </row>
    <row r="113" spans="1:44">
      <c r="A113" s="1">
        <v>44136</v>
      </c>
      <c r="B113" s="3">
        <v>23</v>
      </c>
      <c r="C113" s="3">
        <v>21991.67</v>
      </c>
      <c r="D113" s="3">
        <v>14744.51</v>
      </c>
      <c r="G113" s="3">
        <f t="shared" si="148"/>
        <v>45129.82999999998</v>
      </c>
      <c r="H113">
        <f t="shared" si="127"/>
        <v>1155148.2399999998</v>
      </c>
      <c r="I113">
        <f t="shared" si="128"/>
        <v>1103484.1599999999</v>
      </c>
      <c r="J113" s="1">
        <v>44136</v>
      </c>
      <c r="K113">
        <f>58+583+11+4</f>
        <v>656</v>
      </c>
      <c r="L113">
        <f>128+92+204+16</f>
        <v>440</v>
      </c>
      <c r="M113" s="3">
        <f t="shared" si="143"/>
        <v>1096</v>
      </c>
      <c r="N113" s="3">
        <f t="shared" si="144"/>
        <v>935</v>
      </c>
      <c r="O113" s="3">
        <f t="shared" si="145"/>
        <v>1256.6666666666667</v>
      </c>
      <c r="P113" s="3">
        <f t="shared" si="124"/>
        <v>131691</v>
      </c>
      <c r="Q113" s="4">
        <f t="shared" si="125"/>
        <v>8.3793437668481516</v>
      </c>
      <c r="R113" s="17">
        <f t="shared" si="147"/>
        <v>14233</v>
      </c>
      <c r="S113" s="6" t="s">
        <v>19</v>
      </c>
      <c r="T113" s="97">
        <f t="shared" si="83"/>
        <v>13.4530200729927</v>
      </c>
      <c r="V113" s="100">
        <v>80</v>
      </c>
      <c r="W113" s="5">
        <v>106</v>
      </c>
      <c r="X113" s="5">
        <v>107</v>
      </c>
      <c r="Y113" s="5">
        <f t="shared" si="87"/>
        <v>213</v>
      </c>
      <c r="Z113" s="5">
        <f>V113*49</f>
        <v>3920</v>
      </c>
      <c r="AA113" s="38">
        <f t="shared" si="151"/>
        <v>16677</v>
      </c>
      <c r="AB113">
        <f t="shared" si="152"/>
        <v>23145</v>
      </c>
      <c r="AC113">
        <f t="shared" si="153"/>
        <v>14216</v>
      </c>
      <c r="AD113">
        <f t="shared" si="154"/>
        <v>37361</v>
      </c>
      <c r="AE113" s="39">
        <f t="shared" si="155"/>
        <v>2.2402710319601846</v>
      </c>
      <c r="AF113" s="3">
        <f t="shared" si="134"/>
        <v>989</v>
      </c>
      <c r="AG113" s="3">
        <f t="shared" si="135"/>
        <v>1350</v>
      </c>
      <c r="AH113" s="3">
        <f t="shared" si="136"/>
        <v>992</v>
      </c>
      <c r="AI113" s="3">
        <f t="shared" si="137"/>
        <v>2342</v>
      </c>
      <c r="AJ113" s="3">
        <f t="shared" si="138"/>
        <v>47720</v>
      </c>
      <c r="AK113" s="1">
        <v>44136</v>
      </c>
      <c r="AL113" s="3">
        <f t="shared" si="156"/>
        <v>550</v>
      </c>
      <c r="AM113" s="3">
        <f t="shared" si="157"/>
        <v>333</v>
      </c>
      <c r="AN113" s="3">
        <f t="shared" si="149"/>
        <v>883</v>
      </c>
      <c r="AO113" s="34">
        <f t="shared" si="158"/>
        <v>0.19434306569343066</v>
      </c>
      <c r="AQ113" s="1">
        <f t="shared" ref="AQ113:AQ117" si="159">A113</f>
        <v>44136</v>
      </c>
      <c r="AR113" s="53">
        <f t="shared" ref="AR113:AR119" si="160">M113-M101</f>
        <v>-839</v>
      </c>
    </row>
    <row r="114" spans="1:44">
      <c r="A114" s="1">
        <v>44166</v>
      </c>
      <c r="B114" s="3">
        <v>23</v>
      </c>
      <c r="C114" s="3">
        <v>31515.95</v>
      </c>
      <c r="D114" s="3">
        <v>16511.72</v>
      </c>
      <c r="G114" s="3">
        <f t="shared" si="148"/>
        <v>60134.059999999983</v>
      </c>
      <c r="H114">
        <f t="shared" si="127"/>
        <v>1186664.1899999997</v>
      </c>
      <c r="I114">
        <f t="shared" si="128"/>
        <v>1119995.8799999999</v>
      </c>
      <c r="J114" s="1">
        <v>44166</v>
      </c>
      <c r="K114">
        <f>69+603+11+4</f>
        <v>687</v>
      </c>
      <c r="L114">
        <f>141+102+197+2</f>
        <v>442</v>
      </c>
      <c r="M114" s="3">
        <f t="shared" si="143"/>
        <v>1129</v>
      </c>
      <c r="N114" s="3">
        <f t="shared" si="144"/>
        <v>1038.6666666666667</v>
      </c>
      <c r="O114" s="3">
        <f t="shared" si="145"/>
        <v>1190.8055555555554</v>
      </c>
      <c r="P114" s="3">
        <f t="shared" si="124"/>
        <v>132820</v>
      </c>
      <c r="Q114" s="4">
        <f t="shared" si="125"/>
        <v>8.4324339707875318</v>
      </c>
      <c r="R114" s="49">
        <f t="shared" si="147"/>
        <v>13564</v>
      </c>
      <c r="S114" s="86">
        <v>2020</v>
      </c>
      <c r="T114" s="97">
        <f t="shared" si="83"/>
        <v>14.625084145261294</v>
      </c>
      <c r="V114" s="100">
        <v>104</v>
      </c>
      <c r="W114" s="5">
        <v>136</v>
      </c>
      <c r="X114" s="5">
        <v>96</v>
      </c>
      <c r="Y114" s="5">
        <f t="shared" si="87"/>
        <v>232</v>
      </c>
      <c r="Z114" s="5">
        <f t="shared" ref="Z114:Z117" si="161">V114*49</f>
        <v>5096</v>
      </c>
      <c r="AA114" s="38">
        <f t="shared" si="151"/>
        <v>16781</v>
      </c>
      <c r="AB114">
        <f t="shared" si="152"/>
        <v>23281</v>
      </c>
      <c r="AC114">
        <f t="shared" si="153"/>
        <v>14312</v>
      </c>
      <c r="AD114">
        <f t="shared" si="154"/>
        <v>37593</v>
      </c>
      <c r="AE114" s="39">
        <f t="shared" si="155"/>
        <v>2.2402121446874443</v>
      </c>
      <c r="AF114" s="3">
        <f t="shared" si="134"/>
        <v>828</v>
      </c>
      <c r="AG114" s="3">
        <f t="shared" si="135"/>
        <v>1111</v>
      </c>
      <c r="AH114" s="3">
        <f t="shared" si="136"/>
        <v>814</v>
      </c>
      <c r="AI114" s="3">
        <f t="shared" si="137"/>
        <v>1925</v>
      </c>
      <c r="AJ114" s="3">
        <f t="shared" si="138"/>
        <v>39831</v>
      </c>
      <c r="AK114" s="1">
        <v>44166</v>
      </c>
      <c r="AL114" s="3">
        <f t="shared" si="156"/>
        <v>551</v>
      </c>
      <c r="AM114" s="3">
        <f t="shared" si="157"/>
        <v>346</v>
      </c>
      <c r="AN114" s="3">
        <f t="shared" si="149"/>
        <v>897</v>
      </c>
      <c r="AO114" s="34">
        <f t="shared" si="158"/>
        <v>0.20549158547387067</v>
      </c>
      <c r="AQ114" s="1">
        <f t="shared" si="159"/>
        <v>44166</v>
      </c>
      <c r="AR114" s="53">
        <f t="shared" si="160"/>
        <v>-669</v>
      </c>
    </row>
    <row r="115" spans="1:44">
      <c r="A115" s="1">
        <v>44197</v>
      </c>
      <c r="B115" s="3">
        <v>23</v>
      </c>
      <c r="C115" s="3">
        <v>15636.51</v>
      </c>
      <c r="D115" s="3">
        <v>16740.490000000002</v>
      </c>
      <c r="G115" s="3">
        <f t="shared" si="148"/>
        <v>59030.079999999973</v>
      </c>
      <c r="H115">
        <f t="shared" si="127"/>
        <v>1202300.6999999997</v>
      </c>
      <c r="I115">
        <f t="shared" si="128"/>
        <v>1136736.3699999999</v>
      </c>
      <c r="J115" s="1">
        <v>44197</v>
      </c>
      <c r="K115" s="29">
        <f>106+624+10+5</f>
        <v>745</v>
      </c>
      <c r="L115">
        <f>145+103+195+1</f>
        <v>444</v>
      </c>
      <c r="M115" s="3">
        <f t="shared" ref="M115:M116" si="162">SUM(K115:L115)</f>
        <v>1189</v>
      </c>
      <c r="N115" s="3">
        <f t="shared" ref="N115:N116" si="163">(M115+M114+M113)/3</f>
        <v>1138</v>
      </c>
      <c r="O115" s="3">
        <f t="shared" ref="O115:O116" si="164">SUM(N104:N115)/12</f>
        <v>1133.5833333333333</v>
      </c>
      <c r="P115" s="3">
        <f t="shared" ref="P115:P117" si="165">P114+M115</f>
        <v>134009</v>
      </c>
      <c r="Q115" s="4">
        <f t="shared" ref="Q115:Q118" si="166">I115/P115</f>
        <v>8.4825375161369756</v>
      </c>
      <c r="R115" s="17">
        <f t="shared" ref="R115:R117" si="167">SUM(M104:M115)</f>
        <v>13012</v>
      </c>
      <c r="S115" s="6" t="s">
        <v>19</v>
      </c>
      <c r="T115" s="97">
        <f t="shared" si="83"/>
        <v>14.079470142977293</v>
      </c>
      <c r="V115" s="100">
        <v>166</v>
      </c>
      <c r="W115" s="5">
        <v>208</v>
      </c>
      <c r="X115" s="5">
        <v>133</v>
      </c>
      <c r="Y115" s="5">
        <f t="shared" si="87"/>
        <v>341</v>
      </c>
      <c r="Z115" s="5">
        <f t="shared" si="161"/>
        <v>8134</v>
      </c>
      <c r="AA115" s="38">
        <f t="shared" si="151"/>
        <v>16947</v>
      </c>
      <c r="AB115">
        <f t="shared" si="152"/>
        <v>23489</v>
      </c>
      <c r="AC115">
        <f t="shared" si="153"/>
        <v>14445</v>
      </c>
      <c r="AD115">
        <f t="shared" si="154"/>
        <v>37934</v>
      </c>
      <c r="AE115" s="39">
        <f t="shared" si="155"/>
        <v>2.2383902755649969</v>
      </c>
      <c r="AF115" s="3">
        <f t="shared" si="134"/>
        <v>725</v>
      </c>
      <c r="AG115" s="3">
        <f t="shared" si="135"/>
        <v>939</v>
      </c>
      <c r="AH115" s="3">
        <f t="shared" si="136"/>
        <v>667</v>
      </c>
      <c r="AI115" s="3">
        <f t="shared" si="137"/>
        <v>1606</v>
      </c>
      <c r="AJ115" s="3">
        <f t="shared" si="138"/>
        <v>34784</v>
      </c>
      <c r="AK115" s="1">
        <v>44197</v>
      </c>
      <c r="AL115" s="3">
        <f t="shared" si="156"/>
        <v>537</v>
      </c>
      <c r="AM115" s="3">
        <f t="shared" si="157"/>
        <v>311</v>
      </c>
      <c r="AN115" s="3">
        <f t="shared" si="149"/>
        <v>848</v>
      </c>
      <c r="AO115" s="34">
        <f t="shared" si="158"/>
        <v>0.2867956265769554</v>
      </c>
      <c r="AQ115" s="1">
        <f t="shared" si="159"/>
        <v>44197</v>
      </c>
      <c r="AR115" s="53">
        <f t="shared" si="160"/>
        <v>-552</v>
      </c>
    </row>
    <row r="116" spans="1:44">
      <c r="A116" s="1">
        <v>44228</v>
      </c>
      <c r="B116" s="3">
        <v>23</v>
      </c>
      <c r="C116" s="3">
        <v>13926.64</v>
      </c>
      <c r="D116" s="3">
        <v>11135.75</v>
      </c>
      <c r="G116" s="3">
        <f t="shared" si="148"/>
        <v>61820.969999999972</v>
      </c>
      <c r="H116">
        <f t="shared" si="127"/>
        <v>1216227.3399999996</v>
      </c>
      <c r="I116">
        <f t="shared" si="128"/>
        <v>1147872.1199999999</v>
      </c>
      <c r="J116" s="1">
        <v>44228</v>
      </c>
      <c r="K116">
        <f>71+463+9+5</f>
        <v>548</v>
      </c>
      <c r="L116">
        <f>91+69+114+2</f>
        <v>276</v>
      </c>
      <c r="M116" s="3">
        <f t="shared" si="162"/>
        <v>824</v>
      </c>
      <c r="N116" s="3">
        <f t="shared" si="163"/>
        <v>1047.3333333333333</v>
      </c>
      <c r="O116" s="3">
        <f t="shared" si="164"/>
        <v>1088.6944444444446</v>
      </c>
      <c r="P116" s="3">
        <f t="shared" si="165"/>
        <v>134833</v>
      </c>
      <c r="Q116" s="4">
        <f t="shared" si="166"/>
        <v>8.5132876966321298</v>
      </c>
      <c r="R116" s="17">
        <f t="shared" si="167"/>
        <v>12617</v>
      </c>
      <c r="S116" s="6" t="s">
        <v>19</v>
      </c>
      <c r="T116" s="97">
        <f t="shared" si="83"/>
        <v>13.514259708737864</v>
      </c>
      <c r="V116" s="100">
        <v>168</v>
      </c>
      <c r="W116" s="5">
        <v>210</v>
      </c>
      <c r="X116" s="5">
        <v>125</v>
      </c>
      <c r="Y116" s="5">
        <f t="shared" si="87"/>
        <v>335</v>
      </c>
      <c r="Z116" s="5">
        <f t="shared" si="161"/>
        <v>8232</v>
      </c>
      <c r="AA116" s="38">
        <f t="shared" si="151"/>
        <v>17115</v>
      </c>
      <c r="AB116">
        <f t="shared" si="152"/>
        <v>23699</v>
      </c>
      <c r="AC116">
        <f t="shared" si="153"/>
        <v>14570</v>
      </c>
      <c r="AD116">
        <f t="shared" si="154"/>
        <v>38269</v>
      </c>
      <c r="AE116" s="39">
        <f t="shared" si="155"/>
        <v>2.2359918200408999</v>
      </c>
      <c r="AF116" s="3">
        <f t="shared" si="134"/>
        <v>723</v>
      </c>
      <c r="AG116" s="3">
        <f t="shared" si="135"/>
        <v>937</v>
      </c>
      <c r="AH116" s="3">
        <f t="shared" si="136"/>
        <v>657</v>
      </c>
      <c r="AI116" s="3">
        <f t="shared" si="137"/>
        <v>1594</v>
      </c>
      <c r="AJ116" s="3">
        <f t="shared" si="138"/>
        <v>34686</v>
      </c>
      <c r="AK116" s="1">
        <v>44228</v>
      </c>
      <c r="AL116" s="3">
        <f t="shared" si="156"/>
        <v>338</v>
      </c>
      <c r="AM116" s="3">
        <f t="shared" si="157"/>
        <v>151</v>
      </c>
      <c r="AN116" s="3">
        <f t="shared" si="149"/>
        <v>489</v>
      </c>
      <c r="AO116" s="34">
        <f t="shared" si="158"/>
        <v>0.40655339805825241</v>
      </c>
      <c r="AQ116" s="1">
        <f t="shared" si="159"/>
        <v>44228</v>
      </c>
      <c r="AR116" s="53">
        <f t="shared" si="160"/>
        <v>-395</v>
      </c>
    </row>
    <row r="117" spans="1:44">
      <c r="A117" s="1">
        <v>44256</v>
      </c>
      <c r="B117" s="3">
        <v>23</v>
      </c>
      <c r="C117" s="3">
        <v>18111.240000000002</v>
      </c>
      <c r="D117" s="3">
        <v>15986.74</v>
      </c>
      <c r="G117" s="3">
        <f t="shared" si="148"/>
        <v>63945.469999999979</v>
      </c>
      <c r="H117">
        <f t="shared" si="127"/>
        <v>1234338.5799999996</v>
      </c>
      <c r="I117">
        <f t="shared" si="128"/>
        <v>1163858.8599999999</v>
      </c>
      <c r="J117" s="1">
        <v>44256</v>
      </c>
      <c r="K117">
        <f>75+439+8+2</f>
        <v>524</v>
      </c>
      <c r="L117">
        <f>99+57+152+3</f>
        <v>311</v>
      </c>
      <c r="M117" s="3">
        <f t="shared" ref="M117:M119" si="168">SUM(K117:L117)</f>
        <v>835</v>
      </c>
      <c r="N117" s="3">
        <f t="shared" ref="N117" si="169">(M117+M116+M115)/3</f>
        <v>949.33333333333337</v>
      </c>
      <c r="O117" s="3">
        <f t="shared" ref="O117" si="170">SUM(N106:N117)/12</f>
        <v>1044.3611111111111</v>
      </c>
      <c r="P117" s="3">
        <f t="shared" si="165"/>
        <v>135668</v>
      </c>
      <c r="Q117" s="4">
        <f t="shared" si="166"/>
        <v>8.5787279240498862</v>
      </c>
      <c r="R117" s="41">
        <f t="shared" si="167"/>
        <v>11968</v>
      </c>
      <c r="S117" s="85" t="s">
        <v>56</v>
      </c>
      <c r="T117" s="97">
        <f t="shared" si="83"/>
        <v>19.145796407185628</v>
      </c>
      <c r="V117" s="100">
        <v>140</v>
      </c>
      <c r="W117" s="5">
        <v>177</v>
      </c>
      <c r="X117" s="5">
        <v>128</v>
      </c>
      <c r="Y117" s="5">
        <f t="shared" si="87"/>
        <v>305</v>
      </c>
      <c r="Z117" s="5">
        <f t="shared" si="161"/>
        <v>6860</v>
      </c>
      <c r="AA117" s="38">
        <f t="shared" ref="AA117" si="171">AA116+V117</f>
        <v>17255</v>
      </c>
      <c r="AB117">
        <f t="shared" ref="AB117" si="172">AB116+W117</f>
        <v>23876</v>
      </c>
      <c r="AC117">
        <f t="shared" ref="AC117" si="173">AC116+X117</f>
        <v>14698</v>
      </c>
      <c r="AD117">
        <f t="shared" ref="AD117" si="174">AD116+Y117</f>
        <v>38574</v>
      </c>
      <c r="AE117" s="39">
        <f t="shared" ref="AE117" si="175">AD117/AA117</f>
        <v>2.2355259345117355</v>
      </c>
      <c r="AF117" s="3">
        <f t="shared" ref="AF117" si="176">SUM(V106:V117)</f>
        <v>744</v>
      </c>
      <c r="AG117" s="3">
        <f t="shared" ref="AG117" si="177">SUM(W106:W117)</f>
        <v>949</v>
      </c>
      <c r="AH117" s="3">
        <f t="shared" ref="AH117" si="178">SUM(X106:X117)</f>
        <v>669</v>
      </c>
      <c r="AI117" s="3">
        <f t="shared" ref="AI117" si="179">SUM(Y106:Y117)</f>
        <v>1618</v>
      </c>
      <c r="AJ117" s="3">
        <f t="shared" ref="AJ117" si="180">SUM(Z106:Z117)</f>
        <v>35715</v>
      </c>
      <c r="AK117" s="1">
        <v>44256</v>
      </c>
      <c r="AL117" s="3">
        <f t="shared" si="156"/>
        <v>347</v>
      </c>
      <c r="AM117" s="3">
        <f t="shared" si="157"/>
        <v>183</v>
      </c>
      <c r="AN117" s="3">
        <f t="shared" si="149"/>
        <v>530</v>
      </c>
      <c r="AO117" s="34">
        <f t="shared" si="158"/>
        <v>0.3652694610778443</v>
      </c>
      <c r="AQ117" s="1">
        <f t="shared" si="159"/>
        <v>44256</v>
      </c>
      <c r="AR117" s="53">
        <f t="shared" si="160"/>
        <v>-649</v>
      </c>
    </row>
    <row r="118" spans="1:44">
      <c r="A118" s="1">
        <v>44287</v>
      </c>
      <c r="B118" s="3">
        <v>23</v>
      </c>
      <c r="C118" s="3">
        <v>12580.41</v>
      </c>
      <c r="D118" s="3">
        <v>16479.68</v>
      </c>
      <c r="G118" s="3">
        <f t="shared" si="148"/>
        <v>60046.199999999975</v>
      </c>
      <c r="H118">
        <f t="shared" si="127"/>
        <v>1246918.9899999995</v>
      </c>
      <c r="I118">
        <f t="shared" si="128"/>
        <v>1180338.5399999998</v>
      </c>
      <c r="J118" s="1">
        <v>44287</v>
      </c>
      <c r="K118">
        <f>41+400+4+2</f>
        <v>447</v>
      </c>
      <c r="L118">
        <f>72+68+102+2</f>
        <v>244</v>
      </c>
      <c r="M118" s="3">
        <f t="shared" si="168"/>
        <v>691</v>
      </c>
      <c r="N118" s="3">
        <f t="shared" ref="N118:N119" si="181">(M118+M117+M116)/3</f>
        <v>783.33333333333337</v>
      </c>
      <c r="O118" s="3">
        <f t="shared" ref="O118:O119" si="182">SUM(N107:N118)/12</f>
        <v>983.83333333333348</v>
      </c>
      <c r="P118" s="3">
        <f t="shared" ref="P118:P119" si="183">P117+M118</f>
        <v>136359</v>
      </c>
      <c r="Q118" s="4">
        <f t="shared" si="166"/>
        <v>8.6561102677491029</v>
      </c>
      <c r="R118" s="17">
        <f t="shared" ref="R118:R119" si="184">SUM(M107:M118)</f>
        <v>10833</v>
      </c>
      <c r="S118" s="44" t="s">
        <v>19</v>
      </c>
      <c r="T118" s="97">
        <f t="shared" si="83"/>
        <v>23.849030390738061</v>
      </c>
      <c r="V118" s="100">
        <v>223</v>
      </c>
      <c r="W118" s="5">
        <v>149</v>
      </c>
      <c r="X118" s="5">
        <v>74</v>
      </c>
      <c r="Y118" s="5">
        <f t="shared" si="87"/>
        <v>223</v>
      </c>
      <c r="Z118" s="5">
        <f t="shared" ref="Z118:Z124" si="185">V118*30</f>
        <v>6690</v>
      </c>
      <c r="AA118" s="38">
        <f t="shared" ref="AA118" si="186">AA117+V118</f>
        <v>17478</v>
      </c>
      <c r="AB118">
        <f t="shared" ref="AB118" si="187">AB117+W118</f>
        <v>24025</v>
      </c>
      <c r="AC118">
        <f t="shared" ref="AC118" si="188">AC117+X118</f>
        <v>14772</v>
      </c>
      <c r="AD118">
        <f t="shared" ref="AD118" si="189">AD117+Y118</f>
        <v>38797</v>
      </c>
      <c r="AE118" s="39">
        <f t="shared" ref="AE118:AE119" si="190">AD118/AA118</f>
        <v>2.219761986497311</v>
      </c>
      <c r="AF118" s="3">
        <f t="shared" ref="AF118:AF119" si="191">SUM(V107:V118)</f>
        <v>967</v>
      </c>
      <c r="AG118" s="3">
        <f t="shared" ref="AG118:AG119" si="192">SUM(W107:W118)</f>
        <v>1098</v>
      </c>
      <c r="AH118" s="3">
        <f t="shared" ref="AH118:AH119" si="193">SUM(X107:X118)</f>
        <v>743</v>
      </c>
      <c r="AI118" s="3">
        <f t="shared" ref="AI118:AI119" si="194">SUM(Y107:Y118)</f>
        <v>1841</v>
      </c>
      <c r="AJ118" s="3">
        <f t="shared" ref="AJ118:AJ119" si="195">SUM(Z107:Z118)</f>
        <v>42405</v>
      </c>
      <c r="AK118" s="1">
        <v>44287</v>
      </c>
      <c r="AL118" s="3">
        <f t="shared" ref="AL118" si="196">K118-W118</f>
        <v>298</v>
      </c>
      <c r="AM118" s="3">
        <f t="shared" ref="AM118" si="197">L118-X118</f>
        <v>170</v>
      </c>
      <c r="AN118" s="3">
        <f t="shared" si="149"/>
        <v>468</v>
      </c>
      <c r="AO118" s="34">
        <f t="shared" ref="AO118" si="198">Y118/(AN118+Y118)</f>
        <v>0.3227206946454414</v>
      </c>
      <c r="AQ118" s="1">
        <f t="shared" ref="AQ118" si="199">A118</f>
        <v>44287</v>
      </c>
      <c r="AR118" s="53">
        <f t="shared" si="160"/>
        <v>-1135</v>
      </c>
    </row>
    <row r="119" spans="1:44">
      <c r="A119" s="1">
        <v>44317</v>
      </c>
      <c r="B119" s="3">
        <v>24</v>
      </c>
      <c r="C119" s="3">
        <v>11072.07</v>
      </c>
      <c r="D119" s="3">
        <v>14004.89</v>
      </c>
      <c r="G119" s="3">
        <f t="shared" si="148"/>
        <v>57113.379999999976</v>
      </c>
      <c r="H119">
        <f t="shared" si="127"/>
        <v>1257991.0599999996</v>
      </c>
      <c r="I119">
        <f t="shared" si="128"/>
        <v>1194343.4299999997</v>
      </c>
      <c r="J119" s="1">
        <v>44317</v>
      </c>
      <c r="K119">
        <f>59+382+1+0</f>
        <v>442</v>
      </c>
      <c r="L119">
        <f>78+56+128+3</f>
        <v>265</v>
      </c>
      <c r="M119" s="3">
        <f t="shared" si="168"/>
        <v>707</v>
      </c>
      <c r="N119" s="3">
        <f t="shared" si="181"/>
        <v>744.33333333333337</v>
      </c>
      <c r="O119" s="3">
        <f t="shared" si="182"/>
        <v>918.50000000000011</v>
      </c>
      <c r="P119" s="3">
        <f t="shared" si="183"/>
        <v>137066</v>
      </c>
      <c r="Q119" s="4">
        <f t="shared" ref="Q119" si="200">I119/P119</f>
        <v>8.7136374447346512</v>
      </c>
      <c r="R119" s="17">
        <f t="shared" si="184"/>
        <v>10265</v>
      </c>
      <c r="S119" s="6" t="s">
        <v>19</v>
      </c>
      <c r="T119" s="97">
        <f t="shared" si="83"/>
        <v>19.808896746817538</v>
      </c>
      <c r="V119" s="100">
        <v>178</v>
      </c>
      <c r="W119" s="5">
        <v>109</v>
      </c>
      <c r="X119" s="5">
        <v>69</v>
      </c>
      <c r="Y119" s="5">
        <f t="shared" si="87"/>
        <v>178</v>
      </c>
      <c r="Z119" s="5">
        <f t="shared" si="185"/>
        <v>5340</v>
      </c>
      <c r="AA119" s="38">
        <f t="shared" ref="AA119" si="201">AA118+V119</f>
        <v>17656</v>
      </c>
      <c r="AB119">
        <f t="shared" ref="AB119" si="202">AB118+W119</f>
        <v>24134</v>
      </c>
      <c r="AC119">
        <f t="shared" ref="AC119" si="203">AC118+X119</f>
        <v>14841</v>
      </c>
      <c r="AD119">
        <f t="shared" ref="AD119" si="204">AD118+Y119</f>
        <v>38975</v>
      </c>
      <c r="AE119" s="39">
        <f t="shared" si="190"/>
        <v>2.2074648844585409</v>
      </c>
      <c r="AF119" s="3">
        <f t="shared" si="191"/>
        <v>1145</v>
      </c>
      <c r="AG119" s="3">
        <f t="shared" si="192"/>
        <v>1207</v>
      </c>
      <c r="AH119" s="3">
        <f t="shared" si="193"/>
        <v>812</v>
      </c>
      <c r="AI119" s="3">
        <f t="shared" si="194"/>
        <v>2019</v>
      </c>
      <c r="AJ119" s="3">
        <f t="shared" si="195"/>
        <v>47745</v>
      </c>
      <c r="AK119" s="1">
        <v>44317</v>
      </c>
      <c r="AL119" s="3">
        <f t="shared" ref="AL119" si="205">K119-W119</f>
        <v>333</v>
      </c>
      <c r="AM119" s="3">
        <f t="shared" ref="AM119" si="206">L119-X119</f>
        <v>196</v>
      </c>
      <c r="AN119" s="3">
        <f t="shared" si="149"/>
        <v>529</v>
      </c>
      <c r="AO119" s="34">
        <f t="shared" ref="AO119" si="207">Y119/(AN119+Y119)</f>
        <v>0.25176803394625175</v>
      </c>
      <c r="AQ119" s="1">
        <f t="shared" ref="AQ119" si="208">A119</f>
        <v>44317</v>
      </c>
      <c r="AR119" s="53">
        <f t="shared" si="160"/>
        <v>-568</v>
      </c>
    </row>
    <row r="120" spans="1:44">
      <c r="A120" s="1">
        <v>44348</v>
      </c>
      <c r="B120" s="3">
        <v>24</v>
      </c>
      <c r="C120" s="3">
        <v>10266.86</v>
      </c>
      <c r="D120" s="3">
        <v>15617.17</v>
      </c>
      <c r="E120" s="1"/>
      <c r="F120" s="1"/>
      <c r="G120" s="3">
        <f t="shared" si="148"/>
        <v>51763.069999999978</v>
      </c>
      <c r="H120">
        <f t="shared" si="127"/>
        <v>1268257.9199999997</v>
      </c>
      <c r="I120">
        <f t="shared" si="128"/>
        <v>1209960.5999999996</v>
      </c>
      <c r="J120" s="1">
        <v>44348</v>
      </c>
      <c r="K120">
        <f>67+394+6+8</f>
        <v>475</v>
      </c>
      <c r="L120">
        <f>86+48+128+2</f>
        <v>264</v>
      </c>
      <c r="M120" s="3">
        <f t="shared" ref="M120:M121" si="209">SUM(K120:L120)</f>
        <v>739</v>
      </c>
      <c r="N120" s="3">
        <f t="shared" ref="N120" si="210">(M120+M119+M118)/3</f>
        <v>712.33333333333337</v>
      </c>
      <c r="O120" s="3">
        <f t="shared" ref="O120" si="211">SUM(N109:N120)/12</f>
        <v>866.72222222222229</v>
      </c>
      <c r="P120" s="3">
        <f t="shared" ref="P120" si="212">P119+M120</f>
        <v>137805</v>
      </c>
      <c r="Q120" s="4">
        <f t="shared" ref="Q120" si="213">I120/P120</f>
        <v>8.7802372918254026</v>
      </c>
      <c r="R120" s="17">
        <f t="shared" ref="R120" si="214">SUM(M109:M120)</f>
        <v>10104</v>
      </c>
      <c r="S120" s="6" t="s">
        <v>19</v>
      </c>
      <c r="T120" s="97">
        <f t="shared" si="83"/>
        <v>21.132841677943166</v>
      </c>
      <c r="V120" s="100">
        <v>138</v>
      </c>
      <c r="W120" s="5">
        <v>82</v>
      </c>
      <c r="X120" s="5">
        <v>56</v>
      </c>
      <c r="Y120" s="5">
        <f t="shared" si="87"/>
        <v>138</v>
      </c>
      <c r="Z120" s="5">
        <f t="shared" si="185"/>
        <v>4140</v>
      </c>
      <c r="AA120" s="38">
        <f t="shared" ref="AA120" si="215">AA119+V120</f>
        <v>17794</v>
      </c>
      <c r="AB120">
        <f t="shared" ref="AB120" si="216">AB119+W120</f>
        <v>24216</v>
      </c>
      <c r="AC120">
        <f t="shared" ref="AC120" si="217">AC119+X120</f>
        <v>14897</v>
      </c>
      <c r="AD120">
        <f t="shared" ref="AD120" si="218">AD119+Y120</f>
        <v>39113</v>
      </c>
      <c r="AE120" s="39">
        <f t="shared" ref="AE120" si="219">AD120/AA120</f>
        <v>2.1981004833089806</v>
      </c>
      <c r="AF120" s="3">
        <f t="shared" ref="AF120" si="220">SUM(V109:V120)</f>
        <v>1280</v>
      </c>
      <c r="AG120" s="3">
        <f t="shared" ref="AG120" si="221">SUM(W109:W120)</f>
        <v>1285</v>
      </c>
      <c r="AH120" s="3">
        <f t="shared" ref="AH120" si="222">SUM(X109:X120)</f>
        <v>867</v>
      </c>
      <c r="AI120" s="3">
        <f t="shared" ref="AI120" si="223">SUM(Y109:Y120)</f>
        <v>2152</v>
      </c>
      <c r="AJ120" s="3">
        <f t="shared" ref="AJ120" si="224">SUM(Z109:Z120)</f>
        <v>51795</v>
      </c>
      <c r="AK120" s="1">
        <v>44348</v>
      </c>
      <c r="AL120" s="3">
        <f t="shared" ref="AL120" si="225">K120-W120</f>
        <v>393</v>
      </c>
      <c r="AM120" s="3">
        <f t="shared" ref="AM120" si="226">L120-X120</f>
        <v>208</v>
      </c>
      <c r="AN120" s="3">
        <f t="shared" si="149"/>
        <v>601</v>
      </c>
      <c r="AO120" s="34">
        <f t="shared" ref="AO120" si="227">Y120/(AN120+Y120)</f>
        <v>0.18673883626522328</v>
      </c>
      <c r="AQ120" s="1">
        <f t="shared" ref="AQ120" si="228">A120</f>
        <v>44348</v>
      </c>
      <c r="AR120" s="53">
        <f t="shared" ref="AR120" si="229">M120-M108</f>
        <v>-161</v>
      </c>
    </row>
    <row r="121" spans="1:44">
      <c r="A121" s="1">
        <v>44378</v>
      </c>
      <c r="B121" s="3">
        <v>23</v>
      </c>
      <c r="C121" s="3">
        <v>10780.69</v>
      </c>
      <c r="D121" s="3">
        <v>11508.63</v>
      </c>
      <c r="E121" s="1"/>
      <c r="F121" s="1"/>
      <c r="G121" s="3">
        <f t="shared" si="148"/>
        <v>51035.129999999983</v>
      </c>
      <c r="H121">
        <f t="shared" si="127"/>
        <v>1279038.6099999996</v>
      </c>
      <c r="I121">
        <f t="shared" si="128"/>
        <v>1221469.2299999995</v>
      </c>
      <c r="J121" s="1">
        <v>44378</v>
      </c>
      <c r="K121">
        <f>61+422+2+3</f>
        <v>488</v>
      </c>
      <c r="L121">
        <f>82+65+115+3</f>
        <v>265</v>
      </c>
      <c r="M121" s="3">
        <f t="shared" si="209"/>
        <v>753</v>
      </c>
      <c r="N121" s="3">
        <f t="shared" ref="N121" si="230">(M121+M120+M119)/3</f>
        <v>733</v>
      </c>
      <c r="O121" s="3">
        <f t="shared" ref="O121" si="231">SUM(N110:N121)/12</f>
        <v>851.52777777777783</v>
      </c>
      <c r="P121" s="3">
        <f t="shared" ref="P121" si="232">P120+M121</f>
        <v>138558</v>
      </c>
      <c r="Q121" s="4">
        <f t="shared" ref="Q121" si="233">I121/P121</f>
        <v>8.8155806954488334</v>
      </c>
      <c r="R121" s="17">
        <f t="shared" ref="R121" si="234">SUM(M110:M121)</f>
        <v>10286</v>
      </c>
      <c r="S121" s="6" t="s">
        <v>19</v>
      </c>
      <c r="T121" s="97">
        <f t="shared" si="83"/>
        <v>15.283705179282867</v>
      </c>
      <c r="V121" s="100">
        <v>146</v>
      </c>
      <c r="W121" s="5">
        <v>89</v>
      </c>
      <c r="X121" s="5">
        <v>57</v>
      </c>
      <c r="Y121" s="5">
        <f t="shared" si="87"/>
        <v>146</v>
      </c>
      <c r="Z121" s="5">
        <f t="shared" si="185"/>
        <v>4380</v>
      </c>
      <c r="AA121" s="38">
        <f t="shared" ref="AA121" si="235">AA120+V121</f>
        <v>17940</v>
      </c>
      <c r="AB121">
        <f t="shared" ref="AB121" si="236">AB120+W121</f>
        <v>24305</v>
      </c>
      <c r="AC121">
        <f t="shared" ref="AC121" si="237">AC120+X121</f>
        <v>14954</v>
      </c>
      <c r="AD121">
        <f t="shared" ref="AD121" si="238">AD120+Y121</f>
        <v>39259</v>
      </c>
      <c r="AE121" s="39">
        <f t="shared" ref="AE121" si="239">AD121/AA121</f>
        <v>2.1883500557413602</v>
      </c>
      <c r="AF121" s="3">
        <f t="shared" ref="AF121" si="240">SUM(V110:V121)</f>
        <v>1426</v>
      </c>
      <c r="AG121" s="3">
        <f t="shared" ref="AG121" si="241">SUM(W110:W121)</f>
        <v>1374</v>
      </c>
      <c r="AH121" s="3">
        <f t="shared" ref="AH121" si="242">SUM(X110:X121)</f>
        <v>924</v>
      </c>
      <c r="AI121" s="3">
        <f t="shared" ref="AI121" si="243">SUM(Y110:Y121)</f>
        <v>2298</v>
      </c>
      <c r="AJ121" s="3">
        <f t="shared" ref="AJ121" si="244">SUM(Z110:Z121)</f>
        <v>56175</v>
      </c>
      <c r="AK121" s="1">
        <v>44378</v>
      </c>
      <c r="AL121" s="3">
        <f t="shared" ref="AL121" si="245">K121-W121</f>
        <v>399</v>
      </c>
      <c r="AM121" s="3">
        <f t="shared" ref="AM121" si="246">L121-X121</f>
        <v>208</v>
      </c>
      <c r="AN121" s="3">
        <f t="shared" si="149"/>
        <v>607</v>
      </c>
      <c r="AO121" s="34">
        <f t="shared" ref="AO121" si="247">Y121/(AN121+Y121)</f>
        <v>0.19389110225763612</v>
      </c>
      <c r="AQ121" s="1">
        <f t="shared" ref="AQ121" si="248">A121</f>
        <v>44378</v>
      </c>
      <c r="AR121" s="53">
        <f t="shared" ref="AR121" si="249">M121-M109</f>
        <v>182</v>
      </c>
    </row>
    <row r="122" spans="1:44">
      <c r="A122" s="1">
        <v>44409</v>
      </c>
      <c r="B122" s="3">
        <v>23</v>
      </c>
      <c r="C122" s="3">
        <v>11054.62</v>
      </c>
      <c r="D122" s="3">
        <v>12842.23</v>
      </c>
      <c r="G122" s="3">
        <f t="shared" si="148"/>
        <v>49247.51999999999</v>
      </c>
      <c r="H122">
        <f t="shared" ref="H122" si="250">H121+C122</f>
        <v>1290093.2299999997</v>
      </c>
      <c r="I122">
        <f t="shared" ref="I122" si="251">I121+D122</f>
        <v>1234311.4599999995</v>
      </c>
      <c r="J122" s="1">
        <f>+A122</f>
        <v>44409</v>
      </c>
      <c r="K122">
        <f>71+377+5+3</f>
        <v>456</v>
      </c>
      <c r="L122">
        <f>70+44+94+3</f>
        <v>211</v>
      </c>
      <c r="M122" s="3">
        <f t="shared" ref="M122" si="252">SUM(K122:L122)</f>
        <v>667</v>
      </c>
      <c r="N122" s="3">
        <f t="shared" ref="N122" si="253">(M122+M121+M120)/3</f>
        <v>719.66666666666663</v>
      </c>
      <c r="O122" s="3">
        <f t="shared" ref="O122" si="254">SUM(N111:N122)/12</f>
        <v>853.58333333333314</v>
      </c>
      <c r="P122" s="3">
        <f t="shared" ref="P122" si="255">P121+M122</f>
        <v>139225</v>
      </c>
      <c r="Q122" s="4">
        <f t="shared" ref="Q122" si="256">I122/P122</f>
        <v>8.8655877895492878</v>
      </c>
      <c r="R122" s="17">
        <f t="shared" ref="R122" si="257">SUM(M111:M122)</f>
        <v>10339</v>
      </c>
      <c r="S122" s="6" t="s">
        <v>19</v>
      </c>
      <c r="T122" s="97">
        <f t="shared" si="83"/>
        <v>19.253718140929536</v>
      </c>
      <c r="V122" s="5">
        <v>144</v>
      </c>
      <c r="W122" s="5">
        <v>95</v>
      </c>
      <c r="X122" s="5">
        <v>49</v>
      </c>
      <c r="Y122" s="5">
        <f t="shared" si="87"/>
        <v>144</v>
      </c>
      <c r="Z122" s="5">
        <f t="shared" si="185"/>
        <v>4320</v>
      </c>
      <c r="AA122" s="38">
        <f t="shared" ref="AA122" si="258">AA121+V122</f>
        <v>18084</v>
      </c>
      <c r="AB122">
        <f t="shared" ref="AB122" si="259">AB121+W122</f>
        <v>24400</v>
      </c>
      <c r="AC122">
        <f t="shared" ref="AC122" si="260">AC121+X122</f>
        <v>15003</v>
      </c>
      <c r="AD122">
        <f t="shared" ref="AD122" si="261">AD121+Y122</f>
        <v>39403</v>
      </c>
      <c r="AE122" s="39">
        <f t="shared" ref="AE122" si="262">AD122/AA122</f>
        <v>2.1788874142888743</v>
      </c>
      <c r="AF122" s="3">
        <f t="shared" ref="AF122" si="263">SUM(V111:V122)</f>
        <v>1556</v>
      </c>
      <c r="AG122" s="3">
        <f t="shared" ref="AG122" si="264">SUM(W111:W122)</f>
        <v>1454</v>
      </c>
      <c r="AH122" s="3">
        <f t="shared" ref="AH122" si="265">SUM(X111:X122)</f>
        <v>953</v>
      </c>
      <c r="AI122" s="3">
        <f t="shared" ref="AI122" si="266">SUM(Y111:Y122)</f>
        <v>2407</v>
      </c>
      <c r="AJ122" s="3">
        <f t="shared" ref="AJ122" si="267">SUM(Z111:Z122)</f>
        <v>60075</v>
      </c>
      <c r="AK122" s="1">
        <v>44409</v>
      </c>
      <c r="AL122" s="3">
        <f t="shared" ref="AL122" si="268">K122-W122</f>
        <v>361</v>
      </c>
      <c r="AM122" s="3">
        <f t="shared" ref="AM122" si="269">L122-X122</f>
        <v>162</v>
      </c>
      <c r="AN122" s="3">
        <f t="shared" si="149"/>
        <v>523</v>
      </c>
      <c r="AO122" s="34">
        <f t="shared" ref="AO122" si="270">Y122/(AN122+Y122)</f>
        <v>0.2158920539730135</v>
      </c>
      <c r="AQ122" s="1">
        <f t="shared" ref="AQ122" si="271">A122</f>
        <v>44409</v>
      </c>
      <c r="AR122" s="53">
        <f t="shared" ref="AR122" si="272">M122-M110</f>
        <v>53</v>
      </c>
    </row>
    <row r="123" spans="1:44">
      <c r="A123" s="1">
        <v>44440</v>
      </c>
      <c r="B123" s="3">
        <v>23</v>
      </c>
      <c r="C123" s="3">
        <v>13176.26</v>
      </c>
      <c r="D123" s="3">
        <v>20379.490000000002</v>
      </c>
      <c r="G123" s="3">
        <f t="shared" si="148"/>
        <v>42044.289999999994</v>
      </c>
      <c r="H123">
        <f t="shared" ref="H123" si="273">H122+C123</f>
        <v>1303269.4899999998</v>
      </c>
      <c r="I123">
        <f t="shared" ref="I123" si="274">I122+D123</f>
        <v>1254690.9499999995</v>
      </c>
      <c r="J123" s="1">
        <f t="shared" ref="J123:J124" si="275">+A123</f>
        <v>44440</v>
      </c>
      <c r="K123">
        <f>81+455+6+7</f>
        <v>549</v>
      </c>
      <c r="L123">
        <f>99+61+108+2</f>
        <v>270</v>
      </c>
      <c r="M123" s="3">
        <f t="shared" ref="M123" si="276">SUM(K123:L123)</f>
        <v>819</v>
      </c>
      <c r="N123" s="3">
        <f t="shared" ref="N123" si="277">(M123+M122+M121)/3</f>
        <v>746.33333333333337</v>
      </c>
      <c r="O123" s="3">
        <f t="shared" ref="O123" si="278">SUM(N112:N123)/12</f>
        <v>860.13888888888869</v>
      </c>
      <c r="P123" s="3">
        <f t="shared" ref="P123" si="279">P122+M123</f>
        <v>140044</v>
      </c>
      <c r="Q123" s="4">
        <f t="shared" ref="Q123" si="280">I123/P123</f>
        <v>8.9592624460883687</v>
      </c>
      <c r="R123" s="17">
        <f t="shared" ref="R123" si="281">SUM(M112:M123)</f>
        <v>10340</v>
      </c>
      <c r="S123" s="6" t="s">
        <v>19</v>
      </c>
      <c r="T123" s="97">
        <f t="shared" si="83"/>
        <v>24.883382173382174</v>
      </c>
      <c r="V123" s="5">
        <v>243</v>
      </c>
      <c r="W123" s="5">
        <v>150</v>
      </c>
      <c r="X123" s="5">
        <v>93</v>
      </c>
      <c r="Y123" s="5">
        <f t="shared" si="87"/>
        <v>243</v>
      </c>
      <c r="Z123" s="5">
        <f t="shared" si="185"/>
        <v>7290</v>
      </c>
      <c r="AA123" s="38">
        <f t="shared" ref="AA123" si="282">AA122+V123</f>
        <v>18327</v>
      </c>
      <c r="AB123">
        <f t="shared" ref="AB123" si="283">AB122+W123</f>
        <v>24550</v>
      </c>
      <c r="AC123">
        <f t="shared" ref="AC123" si="284">AC122+X123</f>
        <v>15096</v>
      </c>
      <c r="AD123">
        <f t="shared" ref="AD123" si="285">AD122+Y123</f>
        <v>39646</v>
      </c>
      <c r="AE123" s="39">
        <f t="shared" ref="AE123" si="286">AD123/AA123</f>
        <v>2.1632563976646479</v>
      </c>
      <c r="AF123" s="3">
        <f t="shared" ref="AF123" si="287">SUM(V112:V123)</f>
        <v>1777</v>
      </c>
      <c r="AG123" s="3">
        <f t="shared" ref="AG123" si="288">SUM(W112:W123)</f>
        <v>1576</v>
      </c>
      <c r="AH123" s="3">
        <f t="shared" ref="AH123" si="289">SUM(X112:X123)</f>
        <v>1027</v>
      </c>
      <c r="AI123" s="3">
        <f t="shared" ref="AI123" si="290">SUM(Y112:Y123)</f>
        <v>2603</v>
      </c>
      <c r="AJ123" s="3">
        <f t="shared" ref="AJ123" si="291">SUM(Z112:Z123)</f>
        <v>66705</v>
      </c>
      <c r="AK123" s="1">
        <v>44440</v>
      </c>
      <c r="AL123" s="3">
        <f t="shared" ref="AL123" si="292">K123-W123</f>
        <v>399</v>
      </c>
      <c r="AM123" s="3">
        <f t="shared" ref="AM123" si="293">L123-X123</f>
        <v>177</v>
      </c>
      <c r="AN123" s="3">
        <f t="shared" si="149"/>
        <v>576</v>
      </c>
      <c r="AO123" s="34">
        <f t="shared" ref="AO123" si="294">Y123/(AN123+Y123)</f>
        <v>0.2967032967032967</v>
      </c>
      <c r="AQ123" s="1">
        <f t="shared" ref="AQ123:AQ124" si="295">A123</f>
        <v>44440</v>
      </c>
      <c r="AR123" s="53">
        <f t="shared" ref="AR123:AR124" si="296">M123-M111</f>
        <v>1</v>
      </c>
    </row>
    <row r="124" spans="1:44">
      <c r="A124" s="1">
        <v>44470</v>
      </c>
      <c r="B124" s="3">
        <v>24</v>
      </c>
      <c r="C124" s="3">
        <v>18090.63</v>
      </c>
      <c r="D124" s="3">
        <v>8614.7900000000009</v>
      </c>
      <c r="G124" s="3">
        <f t="shared" si="148"/>
        <v>51520.13</v>
      </c>
      <c r="H124">
        <f t="shared" ref="H124" si="297">H123+C124</f>
        <v>1321360.1199999996</v>
      </c>
      <c r="I124">
        <f t="shared" ref="I124" si="298">I123+D124</f>
        <v>1263305.7399999995</v>
      </c>
      <c r="J124" s="1">
        <f t="shared" si="275"/>
        <v>44470</v>
      </c>
      <c r="K124">
        <f>85+509+7+1</f>
        <v>602</v>
      </c>
      <c r="L124">
        <f>115+82+160+2</f>
        <v>359</v>
      </c>
      <c r="M124" s="3">
        <f t="shared" ref="M124" si="299">SUM(K124:L124)</f>
        <v>961</v>
      </c>
      <c r="N124" s="3">
        <f t="shared" ref="N124" si="300">(M124+M123+M122)/3</f>
        <v>815.66666666666663</v>
      </c>
      <c r="O124" s="3">
        <f t="shared" ref="O124" si="301">SUM(N113:N124)/12</f>
        <v>863.58333333333314</v>
      </c>
      <c r="P124" s="3">
        <f t="shared" ref="P124" si="302">P123+M124</f>
        <v>141005</v>
      </c>
      <c r="Q124" s="4">
        <f t="shared" ref="Q124:Q127" si="303">I124/P124</f>
        <v>8.9592974717208573</v>
      </c>
      <c r="R124" s="17">
        <f t="shared" ref="R124:R131" si="304">SUM(M113:M124)</f>
        <v>10410</v>
      </c>
      <c r="S124" s="84" t="s">
        <v>57</v>
      </c>
      <c r="T124" s="97">
        <f t="shared" ref="T124:T125" si="305">D124/M124</f>
        <v>8.9644016649323639</v>
      </c>
      <c r="V124" s="5">
        <v>252</v>
      </c>
      <c r="W124" s="5">
        <v>156</v>
      </c>
      <c r="X124" s="5">
        <v>96</v>
      </c>
      <c r="Y124" s="5">
        <f t="shared" si="87"/>
        <v>252</v>
      </c>
      <c r="Z124" s="5">
        <f t="shared" si="185"/>
        <v>7560</v>
      </c>
      <c r="AA124" s="38">
        <f t="shared" ref="AA124" si="306">AA123+V124</f>
        <v>18579</v>
      </c>
      <c r="AB124">
        <f t="shared" ref="AB124" si="307">AB123+W124</f>
        <v>24706</v>
      </c>
      <c r="AC124">
        <f t="shared" ref="AC124" si="308">AC123+X124</f>
        <v>15192</v>
      </c>
      <c r="AD124">
        <f t="shared" ref="AD124" si="309">AD123+Y124</f>
        <v>39898</v>
      </c>
      <c r="AE124" s="39">
        <f t="shared" ref="AE124" si="310">AD124/AA124</f>
        <v>2.1474783357554226</v>
      </c>
      <c r="AF124" s="3">
        <f t="shared" ref="AF124" si="311">SUM(V113:V124)</f>
        <v>1982</v>
      </c>
      <c r="AG124" s="3">
        <f t="shared" ref="AG124" si="312">SUM(W113:W124)</f>
        <v>1667</v>
      </c>
      <c r="AH124" s="3">
        <f t="shared" ref="AH124" si="313">SUM(X113:X124)</f>
        <v>1083</v>
      </c>
      <c r="AI124" s="3">
        <f t="shared" ref="AI124" si="314">SUM(Y113:Y124)</f>
        <v>2750</v>
      </c>
      <c r="AJ124" s="3">
        <f t="shared" ref="AJ124" si="315">SUM(Z113:Z124)</f>
        <v>71962</v>
      </c>
      <c r="AK124" s="1">
        <v>44470</v>
      </c>
      <c r="AL124" s="3">
        <f t="shared" ref="AL124" si="316">K124-W124</f>
        <v>446</v>
      </c>
      <c r="AM124" s="3">
        <f t="shared" ref="AM124" si="317">L124-X124</f>
        <v>263</v>
      </c>
      <c r="AN124" s="3">
        <f t="shared" si="149"/>
        <v>709</v>
      </c>
      <c r="AO124" s="34">
        <f t="shared" ref="AO124" si="318">Y124/(AN124+Y124)</f>
        <v>0.26222684703433924</v>
      </c>
      <c r="AQ124" s="1">
        <f t="shared" si="295"/>
        <v>44470</v>
      </c>
      <c r="AR124" s="53">
        <f t="shared" si="296"/>
        <v>70</v>
      </c>
    </row>
    <row r="125" spans="1:44">
      <c r="A125" s="1">
        <v>44501</v>
      </c>
      <c r="B125" s="3">
        <v>24</v>
      </c>
      <c r="C125" s="3">
        <v>18638.11</v>
      </c>
      <c r="D125" s="3">
        <v>14240.08</v>
      </c>
      <c r="G125" s="3">
        <f t="shared" si="148"/>
        <v>55918.159999999989</v>
      </c>
      <c r="H125">
        <f t="shared" ref="H125" si="319">H124+C125</f>
        <v>1339998.2299999997</v>
      </c>
      <c r="I125">
        <f t="shared" ref="I125" si="320">I124+D125</f>
        <v>1277545.8199999996</v>
      </c>
      <c r="J125" s="1">
        <f t="shared" ref="J125:J126" si="321">+A125</f>
        <v>44501</v>
      </c>
      <c r="K125">
        <f>80+664+4+6</f>
        <v>754</v>
      </c>
      <c r="L125">
        <f>140+125+204+1</f>
        <v>470</v>
      </c>
      <c r="M125" s="3">
        <f t="shared" ref="M125" si="322">SUM(K125:L125)</f>
        <v>1224</v>
      </c>
      <c r="N125" s="3">
        <f t="shared" ref="N125" si="323">(M125+M124+M123)/3</f>
        <v>1001.3333333333334</v>
      </c>
      <c r="O125" s="3">
        <f t="shared" ref="O125" si="324">SUM(N114:N125)/12</f>
        <v>869.11111111111097</v>
      </c>
      <c r="P125" s="3">
        <f t="shared" ref="P125" si="325">P124+M125</f>
        <v>142229</v>
      </c>
      <c r="Q125" s="4">
        <f t="shared" si="303"/>
        <v>8.9823159833789141</v>
      </c>
      <c r="R125" s="17">
        <f t="shared" si="304"/>
        <v>10538</v>
      </c>
      <c r="S125" s="6" t="s">
        <v>19</v>
      </c>
      <c r="T125" s="97">
        <f t="shared" si="305"/>
        <v>11.634052287581699</v>
      </c>
      <c r="V125" s="53">
        <v>231</v>
      </c>
      <c r="W125" s="53">
        <v>275</v>
      </c>
      <c r="X125" s="53">
        <v>218</v>
      </c>
      <c r="Y125" s="5">
        <f t="shared" si="87"/>
        <v>493</v>
      </c>
      <c r="Z125" s="5">
        <f t="shared" ref="Z125:Z128" si="326">V125*49</f>
        <v>11319</v>
      </c>
      <c r="AA125" s="38">
        <f t="shared" ref="AA125" si="327">AA124+V125</f>
        <v>18810</v>
      </c>
      <c r="AB125">
        <f t="shared" ref="AB125" si="328">AB124+W125</f>
        <v>24981</v>
      </c>
      <c r="AC125">
        <f t="shared" ref="AC125" si="329">AC124+X125</f>
        <v>15410</v>
      </c>
      <c r="AD125">
        <f t="shared" ref="AD125" si="330">AD124+Y125</f>
        <v>40391</v>
      </c>
      <c r="AE125" s="39">
        <f t="shared" ref="AE125" si="331">AD125/AA125</f>
        <v>2.1473152578415737</v>
      </c>
      <c r="AF125" s="3">
        <f t="shared" ref="AF125" si="332">SUM(V114:V125)</f>
        <v>2133</v>
      </c>
      <c r="AG125" s="3">
        <f t="shared" ref="AG125" si="333">SUM(W114:W125)</f>
        <v>1836</v>
      </c>
      <c r="AH125" s="3">
        <f t="shared" ref="AH125" si="334">SUM(X114:X125)</f>
        <v>1194</v>
      </c>
      <c r="AI125" s="3">
        <f t="shared" ref="AI125" si="335">SUM(Y114:Y125)</f>
        <v>3030</v>
      </c>
      <c r="AJ125" s="3">
        <f t="shared" ref="AJ125" si="336">SUM(Z114:Z125)</f>
        <v>79361</v>
      </c>
      <c r="AK125" s="1">
        <v>44501</v>
      </c>
      <c r="AL125" s="3">
        <f t="shared" ref="AL125" si="337">K125-W125</f>
        <v>479</v>
      </c>
      <c r="AM125" s="3">
        <f t="shared" ref="AM125" si="338">L125-X125</f>
        <v>252</v>
      </c>
      <c r="AN125" s="3">
        <f t="shared" si="149"/>
        <v>731</v>
      </c>
      <c r="AO125" s="34">
        <f t="shared" ref="AO125" si="339">Y125/(AN125+Y125)</f>
        <v>0.40277777777777779</v>
      </c>
      <c r="AQ125" s="1">
        <f t="shared" ref="AQ125" si="340">A125</f>
        <v>44501</v>
      </c>
      <c r="AR125" s="53">
        <f t="shared" ref="AR125" si="341">M125-M113</f>
        <v>128</v>
      </c>
    </row>
    <row r="126" spans="1:44">
      <c r="A126" s="1">
        <v>44531</v>
      </c>
      <c r="B126" s="3">
        <v>24</v>
      </c>
      <c r="C126" s="3">
        <v>28089.97</v>
      </c>
      <c r="D126" s="3">
        <v>16312.1</v>
      </c>
      <c r="G126" s="3">
        <f t="shared" si="148"/>
        <v>67696.029999999984</v>
      </c>
      <c r="H126">
        <f t="shared" ref="H126" si="342">H125+C126</f>
        <v>1368088.1999999997</v>
      </c>
      <c r="I126">
        <f t="shared" ref="I126" si="343">I125+D126</f>
        <v>1293857.9199999997</v>
      </c>
      <c r="J126" s="1">
        <f t="shared" si="321"/>
        <v>44531</v>
      </c>
      <c r="K126">
        <f>90+767+11</f>
        <v>868</v>
      </c>
      <c r="L126">
        <f>146+132+208+2</f>
        <v>488</v>
      </c>
      <c r="M126" s="3">
        <f t="shared" ref="M126" si="344">SUM(K126:L126)</f>
        <v>1356</v>
      </c>
      <c r="N126" s="3">
        <f t="shared" ref="N126" si="345">(M126+M125+M124)/3</f>
        <v>1180.3333333333333</v>
      </c>
      <c r="O126" s="3">
        <f t="shared" ref="O126" si="346">SUM(N115:N126)/12</f>
        <v>880.91666666666663</v>
      </c>
      <c r="P126" s="3">
        <f t="shared" ref="P126" si="347">P125+M126</f>
        <v>143585</v>
      </c>
      <c r="Q126" s="4">
        <f t="shared" si="303"/>
        <v>9.0110939164954527</v>
      </c>
      <c r="R126" s="49">
        <f t="shared" ref="R126" si="348">SUM(M115:M126)</f>
        <v>10765</v>
      </c>
      <c r="S126" s="86">
        <v>2021</v>
      </c>
      <c r="T126" s="97">
        <f t="shared" ref="T126:T132" si="349">D126/M126</f>
        <v>12.029572271386431</v>
      </c>
      <c r="V126" s="5">
        <v>327</v>
      </c>
      <c r="W126" s="5">
        <v>393</v>
      </c>
      <c r="X126" s="5">
        <v>275</v>
      </c>
      <c r="Y126" s="5">
        <f t="shared" si="87"/>
        <v>668</v>
      </c>
      <c r="Z126" s="5">
        <f t="shared" si="326"/>
        <v>16023</v>
      </c>
      <c r="AA126" s="38">
        <f t="shared" ref="AA126" si="350">AA125+V126</f>
        <v>19137</v>
      </c>
      <c r="AB126">
        <f t="shared" ref="AB126" si="351">AB125+W126</f>
        <v>25374</v>
      </c>
      <c r="AC126">
        <f t="shared" ref="AC126" si="352">AC125+X126</f>
        <v>15685</v>
      </c>
      <c r="AD126">
        <f t="shared" ref="AD126" si="353">AD125+Y126</f>
        <v>41059</v>
      </c>
      <c r="AE126" s="39">
        <f t="shared" ref="AE126" si="354">AD126/AA126</f>
        <v>2.1455296023410146</v>
      </c>
      <c r="AF126" s="3">
        <f t="shared" ref="AF126" si="355">SUM(V115:V126)</f>
        <v>2356</v>
      </c>
      <c r="AG126" s="3">
        <f t="shared" ref="AG126" si="356">SUM(W115:W126)</f>
        <v>2093</v>
      </c>
      <c r="AH126" s="3">
        <f t="shared" ref="AH126" si="357">SUM(X115:X126)</f>
        <v>1373</v>
      </c>
      <c r="AI126" s="3">
        <f t="shared" ref="AI126" si="358">SUM(Y115:Y126)</f>
        <v>3466</v>
      </c>
      <c r="AJ126" s="3">
        <f t="shared" ref="AJ126" si="359">SUM(Z115:Z126)</f>
        <v>90288</v>
      </c>
      <c r="AK126" s="1">
        <v>44531</v>
      </c>
      <c r="AL126" s="3">
        <f t="shared" ref="AL126" si="360">K126-W126</f>
        <v>475</v>
      </c>
      <c r="AM126" s="3">
        <f t="shared" ref="AM126" si="361">L126-X126</f>
        <v>213</v>
      </c>
      <c r="AN126" s="3">
        <f t="shared" si="149"/>
        <v>688</v>
      </c>
      <c r="AO126" s="34">
        <f t="shared" ref="AO126" si="362">Y126/(AN126+Y126)</f>
        <v>0.49262536873156343</v>
      </c>
      <c r="AQ126" s="1">
        <f t="shared" ref="AQ126" si="363">A126</f>
        <v>44531</v>
      </c>
      <c r="AR126" s="53">
        <f t="shared" ref="AR126" si="364">M126-M114</f>
        <v>227</v>
      </c>
    </row>
    <row r="127" spans="1:44">
      <c r="A127" s="1">
        <v>44562</v>
      </c>
      <c r="B127" s="3">
        <v>25</v>
      </c>
      <c r="C127" s="3">
        <v>12475.96</v>
      </c>
      <c r="D127" s="3">
        <v>14628.3</v>
      </c>
      <c r="G127" s="3">
        <f t="shared" si="148"/>
        <v>65543.689999999988</v>
      </c>
      <c r="H127">
        <f t="shared" ref="H127" si="365">H126+C127</f>
        <v>1380564.1599999997</v>
      </c>
      <c r="I127">
        <f t="shared" ref="I127" si="366">I126+D127</f>
        <v>1308486.2199999997</v>
      </c>
      <c r="J127" s="1">
        <f t="shared" ref="J127" si="367">+A127</f>
        <v>44562</v>
      </c>
      <c r="K127">
        <f>95+715+8+4</f>
        <v>822</v>
      </c>
      <c r="L127">
        <f>193+126+234+6</f>
        <v>559</v>
      </c>
      <c r="M127" s="3">
        <f t="shared" ref="M127" si="368">SUM(K127:L127)</f>
        <v>1381</v>
      </c>
      <c r="N127" s="3">
        <f t="shared" ref="N127" si="369">(M127+M126+M125)/3</f>
        <v>1320.3333333333333</v>
      </c>
      <c r="O127" s="3">
        <f t="shared" ref="O127" si="370">SUM(N116:N127)/12</f>
        <v>896.11111111111131</v>
      </c>
      <c r="P127" s="3">
        <f t="shared" ref="P127" si="371">P126+M127</f>
        <v>144966</v>
      </c>
      <c r="Q127" s="4">
        <f t="shared" si="303"/>
        <v>9.026159375301793</v>
      </c>
      <c r="R127" s="17">
        <f t="shared" si="304"/>
        <v>10957</v>
      </c>
      <c r="S127" s="6" t="s">
        <v>19</v>
      </c>
      <c r="T127" s="97">
        <f t="shared" si="349"/>
        <v>10.592541636495293</v>
      </c>
      <c r="V127" s="53">
        <v>351</v>
      </c>
      <c r="W127" s="5">
        <v>439</v>
      </c>
      <c r="X127" s="5">
        <v>344</v>
      </c>
      <c r="Y127" s="5">
        <f t="shared" si="87"/>
        <v>783</v>
      </c>
      <c r="Z127" s="5">
        <f t="shared" si="326"/>
        <v>17199</v>
      </c>
      <c r="AA127" s="38">
        <f t="shared" ref="AA127" si="372">AA126+V127</f>
        <v>19488</v>
      </c>
      <c r="AB127">
        <f t="shared" ref="AB127" si="373">AB126+W127</f>
        <v>25813</v>
      </c>
      <c r="AC127">
        <f t="shared" ref="AC127" si="374">AC126+X127</f>
        <v>16029</v>
      </c>
      <c r="AD127">
        <f t="shared" ref="AD127" si="375">AD126+Y127</f>
        <v>41842</v>
      </c>
      <c r="AE127" s="39">
        <f t="shared" ref="AE127" si="376">AD127/AA127</f>
        <v>2.1470648604269296</v>
      </c>
      <c r="AF127" s="3">
        <f t="shared" ref="AF127" si="377">SUM(V116:V127)</f>
        <v>2541</v>
      </c>
      <c r="AG127" s="3">
        <f t="shared" ref="AG127" si="378">SUM(W116:W127)</f>
        <v>2324</v>
      </c>
      <c r="AH127" s="3">
        <f t="shared" ref="AH127" si="379">SUM(X116:X127)</f>
        <v>1584</v>
      </c>
      <c r="AI127" s="3">
        <f t="shared" ref="AI127" si="380">SUM(Y116:Y127)</f>
        <v>3908</v>
      </c>
      <c r="AJ127" s="3">
        <f t="shared" ref="AJ127" si="381">SUM(Z116:Z127)</f>
        <v>99353</v>
      </c>
      <c r="AK127" s="1">
        <v>44562</v>
      </c>
      <c r="AL127" s="3">
        <f t="shared" ref="AL127" si="382">K127-W127</f>
        <v>383</v>
      </c>
      <c r="AM127" s="3">
        <f t="shared" ref="AM127" si="383">L127-X127</f>
        <v>215</v>
      </c>
      <c r="AN127" s="3">
        <f t="shared" si="149"/>
        <v>598</v>
      </c>
      <c r="AO127" s="34">
        <f t="shared" ref="AO127" si="384">Y127/(AN127+Y127)</f>
        <v>0.56698044895003619</v>
      </c>
      <c r="AQ127" s="1">
        <f t="shared" ref="AQ127:AQ129" si="385">A127</f>
        <v>44562</v>
      </c>
      <c r="AR127" s="53">
        <f t="shared" ref="AR127:AR129" si="386">M127-M115</f>
        <v>192</v>
      </c>
    </row>
    <row r="128" spans="1:44">
      <c r="A128" s="1">
        <v>44593</v>
      </c>
      <c r="B128" s="3">
        <v>25</v>
      </c>
      <c r="C128" s="3">
        <v>15115.35</v>
      </c>
      <c r="D128" s="3">
        <v>16121.74</v>
      </c>
      <c r="G128" s="3">
        <f t="shared" si="148"/>
        <v>64537.299999999996</v>
      </c>
      <c r="H128">
        <f t="shared" ref="H128" si="387">H127+C128</f>
        <v>1395679.5099999998</v>
      </c>
      <c r="I128">
        <f t="shared" ref="I128" si="388">I127+D128</f>
        <v>1324607.9599999997</v>
      </c>
      <c r="J128" s="1">
        <f t="shared" ref="J128:J133" si="389">+A128</f>
        <v>44593</v>
      </c>
      <c r="K128">
        <f>97+745+11+9</f>
        <v>862</v>
      </c>
      <c r="L128">
        <f>151+105+203+9</f>
        <v>468</v>
      </c>
      <c r="M128" s="3">
        <f t="shared" ref="M128" si="390">SUM(K128:L128)</f>
        <v>1330</v>
      </c>
      <c r="N128" s="3">
        <f t="shared" ref="N128" si="391">(M128+M127+M126)/3</f>
        <v>1355.6666666666667</v>
      </c>
      <c r="O128" s="3">
        <f t="shared" ref="O128" si="392">SUM(N117:N128)/12</f>
        <v>921.80555555555554</v>
      </c>
      <c r="P128" s="3">
        <f t="shared" ref="P128" si="393">P127+M128</f>
        <v>146296</v>
      </c>
      <c r="Q128" s="4">
        <f t="shared" ref="Q128:Q129" si="394">I128/P128</f>
        <v>9.0543005960518386</v>
      </c>
      <c r="R128" s="17">
        <f t="shared" si="304"/>
        <v>11463</v>
      </c>
      <c r="S128" s="6" t="s">
        <v>19</v>
      </c>
      <c r="T128" s="97">
        <f t="shared" si="349"/>
        <v>12.12160902255639</v>
      </c>
      <c r="V128" s="5">
        <v>342</v>
      </c>
      <c r="W128" s="5">
        <v>410</v>
      </c>
      <c r="X128" s="5">
        <v>314</v>
      </c>
      <c r="Y128" s="5">
        <f t="shared" ref="Y128:Y129" si="395">X128+W128</f>
        <v>724</v>
      </c>
      <c r="Z128" s="5">
        <f t="shared" si="326"/>
        <v>16758</v>
      </c>
      <c r="AA128" s="38">
        <f t="shared" ref="AA128" si="396">AA127+V128</f>
        <v>19830</v>
      </c>
      <c r="AB128">
        <f t="shared" ref="AB128" si="397">AB127+W128</f>
        <v>26223</v>
      </c>
      <c r="AC128">
        <f t="shared" ref="AC128" si="398">AC127+X128</f>
        <v>16343</v>
      </c>
      <c r="AD128">
        <f t="shared" ref="AD128" si="399">AD127+Y128</f>
        <v>42566</v>
      </c>
      <c r="AE128" s="39">
        <f t="shared" ref="AE128" si="400">AD128/AA128</f>
        <v>2.14654563792234</v>
      </c>
      <c r="AF128" s="3">
        <f t="shared" ref="AF128" si="401">SUM(V117:V128)</f>
        <v>2715</v>
      </c>
      <c r="AG128" s="3">
        <f t="shared" ref="AG128" si="402">SUM(W117:W128)</f>
        <v>2524</v>
      </c>
      <c r="AH128" s="3">
        <f t="shared" ref="AH128" si="403">SUM(X117:X128)</f>
        <v>1773</v>
      </c>
      <c r="AI128" s="3">
        <f t="shared" ref="AI128" si="404">SUM(Y117:Y128)</f>
        <v>4297</v>
      </c>
      <c r="AJ128" s="3">
        <f t="shared" ref="AJ128" si="405">SUM(Z117:Z128)</f>
        <v>107879</v>
      </c>
      <c r="AK128" s="1">
        <v>44593</v>
      </c>
      <c r="AL128" s="3">
        <f t="shared" ref="AL128:AL129" si="406">K128-W128</f>
        <v>452</v>
      </c>
      <c r="AM128" s="3">
        <f t="shared" ref="AM128:AM129" si="407">L128-X128</f>
        <v>154</v>
      </c>
      <c r="AN128" s="3">
        <f t="shared" ref="AN128:AN129" si="408">AL128+AM128</f>
        <v>606</v>
      </c>
      <c r="AO128" s="34">
        <f t="shared" ref="AO128:AO129" si="409">Y128/(AN128+Y128)</f>
        <v>0.54436090225563905</v>
      </c>
      <c r="AQ128" s="1">
        <f t="shared" si="385"/>
        <v>44593</v>
      </c>
      <c r="AR128" s="53">
        <f t="shared" si="386"/>
        <v>506</v>
      </c>
    </row>
    <row r="129" spans="1:44">
      <c r="A129" s="1">
        <v>44621</v>
      </c>
      <c r="B129" s="3">
        <v>27</v>
      </c>
      <c r="C129" s="3">
        <v>15084.53</v>
      </c>
      <c r="D129" s="3">
        <v>17384.310000000001</v>
      </c>
      <c r="G129" s="3">
        <f t="shared" si="148"/>
        <v>62237.520000000004</v>
      </c>
      <c r="H129">
        <f t="shared" ref="H129" si="410">H128+C129</f>
        <v>1410764.0399999998</v>
      </c>
      <c r="I129">
        <f t="shared" ref="I129" si="411">I128+D129</f>
        <v>1341992.2699999998</v>
      </c>
      <c r="J129" s="1">
        <f t="shared" si="389"/>
        <v>44621</v>
      </c>
      <c r="K129">
        <f>124+745+20+8</f>
        <v>897</v>
      </c>
      <c r="L129">
        <f>158+90+183+13</f>
        <v>444</v>
      </c>
      <c r="M129" s="3">
        <f t="shared" ref="M129" si="412">SUM(K129:L129)</f>
        <v>1341</v>
      </c>
      <c r="N129" s="3">
        <f t="shared" ref="N129" si="413">(M129+M128+M127)/3</f>
        <v>1350.6666666666667</v>
      </c>
      <c r="O129" s="3">
        <f t="shared" ref="O129" si="414">SUM(N118:N129)/12</f>
        <v>955.24999999999989</v>
      </c>
      <c r="P129" s="3">
        <f t="shared" ref="P129" si="415">P128+M129</f>
        <v>147637</v>
      </c>
      <c r="Q129" s="4">
        <f t="shared" si="394"/>
        <v>9.0898099392428708</v>
      </c>
      <c r="R129" s="17">
        <f t="shared" si="304"/>
        <v>11969</v>
      </c>
      <c r="S129" s="6" t="s">
        <v>19</v>
      </c>
      <c r="T129" s="97">
        <f t="shared" si="349"/>
        <v>12.963691275167786</v>
      </c>
      <c r="V129" s="5">
        <v>434</v>
      </c>
      <c r="W129" s="5">
        <v>529</v>
      </c>
      <c r="X129" s="5">
        <v>408</v>
      </c>
      <c r="Y129" s="5">
        <f t="shared" si="395"/>
        <v>937</v>
      </c>
      <c r="Z129" s="5">
        <f t="shared" ref="Z129:Z135" si="416">V129*30</f>
        <v>13020</v>
      </c>
      <c r="AA129" s="38">
        <f t="shared" ref="AA129" si="417">AA128+V129</f>
        <v>20264</v>
      </c>
      <c r="AB129">
        <f t="shared" ref="AB129" si="418">AB128+W129</f>
        <v>26752</v>
      </c>
      <c r="AC129">
        <f t="shared" ref="AC129" si="419">AC128+X129</f>
        <v>16751</v>
      </c>
      <c r="AD129">
        <f t="shared" ref="AD129" si="420">AD128+Y129</f>
        <v>43503</v>
      </c>
      <c r="AE129" s="39">
        <f t="shared" ref="AE129" si="421">AD129/AA129</f>
        <v>2.1468120805369129</v>
      </c>
      <c r="AF129" s="3">
        <f t="shared" ref="AF129" si="422">SUM(V118:V129)</f>
        <v>3009</v>
      </c>
      <c r="AG129" s="3">
        <f t="shared" ref="AG129" si="423">SUM(W118:W129)</f>
        <v>2876</v>
      </c>
      <c r="AH129" s="3">
        <f t="shared" ref="AH129" si="424">SUM(X118:X129)</f>
        <v>2053</v>
      </c>
      <c r="AI129" s="3">
        <f t="shared" ref="AI129" si="425">SUM(Y118:Y129)</f>
        <v>4929</v>
      </c>
      <c r="AJ129" s="3">
        <f t="shared" ref="AJ129" si="426">SUM(Z118:Z129)</f>
        <v>114039</v>
      </c>
      <c r="AK129" s="1">
        <v>44621</v>
      </c>
      <c r="AL129" s="3">
        <f t="shared" si="406"/>
        <v>368</v>
      </c>
      <c r="AM129" s="3">
        <f t="shared" si="407"/>
        <v>36</v>
      </c>
      <c r="AN129" s="3">
        <f t="shared" si="408"/>
        <v>404</v>
      </c>
      <c r="AO129" s="34">
        <f t="shared" si="409"/>
        <v>0.69873228933631615</v>
      </c>
      <c r="AQ129" s="1">
        <f t="shared" si="385"/>
        <v>44621</v>
      </c>
      <c r="AR129" s="53">
        <f t="shared" si="386"/>
        <v>506</v>
      </c>
    </row>
    <row r="130" spans="1:44">
      <c r="A130" s="1">
        <v>44652</v>
      </c>
      <c r="B130" s="3">
        <v>27</v>
      </c>
      <c r="C130" s="3">
        <v>11601.05</v>
      </c>
      <c r="D130" s="3">
        <v>11767.97</v>
      </c>
      <c r="G130" s="3">
        <f t="shared" si="148"/>
        <v>62070.600000000006</v>
      </c>
      <c r="H130">
        <f t="shared" ref="H130" si="427">H129+C130</f>
        <v>1422365.0899999999</v>
      </c>
      <c r="I130">
        <f t="shared" ref="I130" si="428">I129+D130</f>
        <v>1353760.2399999998</v>
      </c>
      <c r="J130" s="1">
        <f t="shared" si="389"/>
        <v>44652</v>
      </c>
      <c r="K130">
        <f>94+851+12+6</f>
        <v>963</v>
      </c>
      <c r="L130">
        <f>155+119+227+5</f>
        <v>506</v>
      </c>
      <c r="M130" s="3">
        <f t="shared" ref="M130:M131" si="429">SUM(K130:L130)</f>
        <v>1469</v>
      </c>
      <c r="N130" s="3">
        <f t="shared" ref="N130:N131" si="430">(M130+M129+M128)/3</f>
        <v>1380</v>
      </c>
      <c r="O130" s="3">
        <f t="shared" ref="O130" si="431">SUM(N119:N130)/12</f>
        <v>1004.9722222222222</v>
      </c>
      <c r="P130" s="3">
        <f t="shared" ref="P130" si="432">P129+M130</f>
        <v>149106</v>
      </c>
      <c r="Q130" s="4">
        <f t="shared" ref="Q130:Q131" si="433">I130/P130</f>
        <v>9.0791801805426999</v>
      </c>
      <c r="R130" s="17">
        <f t="shared" si="304"/>
        <v>12747</v>
      </c>
      <c r="S130" s="6" t="s">
        <v>19</v>
      </c>
      <c r="T130" s="97">
        <f t="shared" si="349"/>
        <v>8.0108713410483325</v>
      </c>
      <c r="V130" s="5">
        <v>247</v>
      </c>
      <c r="W130" s="5">
        <v>233</v>
      </c>
      <c r="X130" s="5">
        <v>142</v>
      </c>
      <c r="Y130" s="5">
        <f t="shared" ref="Y130:Y133" si="434">X130+W130</f>
        <v>375</v>
      </c>
      <c r="Z130" s="5">
        <f t="shared" si="416"/>
        <v>7410</v>
      </c>
      <c r="AA130" s="38">
        <f t="shared" ref="AA130" si="435">AA129+V130</f>
        <v>20511</v>
      </c>
      <c r="AB130">
        <f t="shared" ref="AB130" si="436">AB129+W130</f>
        <v>26985</v>
      </c>
      <c r="AC130">
        <f t="shared" ref="AC130" si="437">AC129+X130</f>
        <v>16893</v>
      </c>
      <c r="AD130">
        <f t="shared" ref="AD130" si="438">AD129+Y130</f>
        <v>43878</v>
      </c>
      <c r="AE130" s="39">
        <f t="shared" ref="AE130" si="439">AD130/AA130</f>
        <v>2.139242357759251</v>
      </c>
      <c r="AF130" s="3">
        <f t="shared" ref="AF130" si="440">SUM(V119:V130)</f>
        <v>3033</v>
      </c>
      <c r="AG130" s="3">
        <f t="shared" ref="AG130" si="441">SUM(W119:W130)</f>
        <v>2960</v>
      </c>
      <c r="AH130" s="3">
        <f t="shared" ref="AH130" si="442">SUM(X119:X130)</f>
        <v>2121</v>
      </c>
      <c r="AI130" s="3">
        <f t="shared" ref="AI130" si="443">SUM(Y119:Y130)</f>
        <v>5081</v>
      </c>
      <c r="AJ130" s="3">
        <f t="shared" ref="AJ130" si="444">SUM(Z119:Z130)</f>
        <v>114759</v>
      </c>
      <c r="AK130" s="1">
        <v>44652</v>
      </c>
      <c r="AL130" s="3">
        <f t="shared" ref="AL130" si="445">K130-W130</f>
        <v>730</v>
      </c>
      <c r="AM130" s="3">
        <f t="shared" ref="AM130" si="446">L130-X130</f>
        <v>364</v>
      </c>
      <c r="AN130" s="3">
        <f t="shared" ref="AN130" si="447">AL130+AM130</f>
        <v>1094</v>
      </c>
      <c r="AO130" s="34">
        <f t="shared" ref="AO130" si="448">Y130/(AN130+Y130)</f>
        <v>0.25527569775357384</v>
      </c>
      <c r="AQ130" s="1">
        <f t="shared" ref="AQ130" si="449">A130</f>
        <v>44652</v>
      </c>
      <c r="AR130" s="53">
        <f t="shared" ref="AR130" si="450">M130-M118</f>
        <v>778</v>
      </c>
    </row>
    <row r="131" spans="1:44">
      <c r="A131" s="1">
        <v>44682</v>
      </c>
      <c r="B131" s="3">
        <v>27</v>
      </c>
      <c r="C131" s="3">
        <v>12592.57</v>
      </c>
      <c r="D131" s="3">
        <v>14015.8</v>
      </c>
      <c r="G131" s="3">
        <f t="shared" si="148"/>
        <v>60647.37000000001</v>
      </c>
      <c r="H131">
        <f t="shared" ref="H131" si="451">H130+C131</f>
        <v>1434957.66</v>
      </c>
      <c r="I131">
        <f t="shared" ref="I131" si="452">I130+D131</f>
        <v>1367776.0399999998</v>
      </c>
      <c r="J131" s="1">
        <f t="shared" si="389"/>
        <v>44682</v>
      </c>
      <c r="K131">
        <f>110+836+15+11</f>
        <v>972</v>
      </c>
      <c r="L131">
        <f>166+140+217+3</f>
        <v>526</v>
      </c>
      <c r="M131" s="3">
        <f t="shared" si="429"/>
        <v>1498</v>
      </c>
      <c r="N131" s="3">
        <f t="shared" si="430"/>
        <v>1436</v>
      </c>
      <c r="O131" s="3">
        <f t="shared" ref="O131" si="453">SUM(N120:N131)/12</f>
        <v>1062.6111111111111</v>
      </c>
      <c r="P131" s="3">
        <f t="shared" ref="P131" si="454">P130+M131</f>
        <v>150604</v>
      </c>
      <c r="Q131" s="4">
        <f t="shared" si="433"/>
        <v>9.0819370003452757</v>
      </c>
      <c r="R131" s="17">
        <f t="shared" si="304"/>
        <v>13538</v>
      </c>
      <c r="S131" s="6" t="s">
        <v>19</v>
      </c>
      <c r="T131" s="97">
        <f t="shared" si="349"/>
        <v>9.3563417890520686</v>
      </c>
      <c r="V131" s="5">
        <v>262</v>
      </c>
      <c r="W131" s="5">
        <v>327</v>
      </c>
      <c r="X131" s="5">
        <v>243</v>
      </c>
      <c r="Y131" s="5">
        <f t="shared" si="434"/>
        <v>570</v>
      </c>
      <c r="Z131" s="5">
        <f t="shared" si="416"/>
        <v>7860</v>
      </c>
      <c r="AA131" s="38">
        <f t="shared" ref="AA131" si="455">AA130+V131</f>
        <v>20773</v>
      </c>
      <c r="AB131">
        <f t="shared" ref="AB131" si="456">AB130+W131</f>
        <v>27312</v>
      </c>
      <c r="AC131">
        <f t="shared" ref="AC131" si="457">AC130+X131</f>
        <v>17136</v>
      </c>
      <c r="AD131">
        <f t="shared" ref="AD131" si="458">AD130+Y131</f>
        <v>44448</v>
      </c>
      <c r="AE131" s="39">
        <f t="shared" ref="AE131" si="459">AD131/AA131</f>
        <v>2.1397005728589997</v>
      </c>
      <c r="AF131" s="3">
        <f t="shared" ref="AF131" si="460">SUM(V120:V131)</f>
        <v>3117</v>
      </c>
      <c r="AG131" s="3">
        <f t="shared" ref="AG131" si="461">SUM(W120:W131)</f>
        <v>3178</v>
      </c>
      <c r="AH131" s="3">
        <f t="shared" ref="AH131" si="462">SUM(X120:X131)</f>
        <v>2295</v>
      </c>
      <c r="AI131" s="3">
        <f t="shared" ref="AI131" si="463">SUM(Y120:Y131)</f>
        <v>5473</v>
      </c>
      <c r="AJ131" s="3">
        <f t="shared" ref="AJ131" si="464">SUM(Z120:Z131)</f>
        <v>117279</v>
      </c>
      <c r="AK131" s="1">
        <v>44682</v>
      </c>
      <c r="AL131" s="3">
        <f t="shared" ref="AL131" si="465">K131-W131</f>
        <v>645</v>
      </c>
      <c r="AM131" s="3">
        <f t="shared" ref="AM131" si="466">L131-X131</f>
        <v>283</v>
      </c>
      <c r="AN131" s="3">
        <f t="shared" ref="AN131" si="467">AL131+AM131</f>
        <v>928</v>
      </c>
      <c r="AO131" s="34">
        <f t="shared" ref="AO131" si="468">Y131/(AN131+Y131)</f>
        <v>0.38050734312416556</v>
      </c>
      <c r="AQ131" s="1">
        <f t="shared" ref="AQ131" si="469">A131</f>
        <v>44682</v>
      </c>
      <c r="AR131" s="53">
        <f t="shared" ref="AR131" si="470">M131-M119</f>
        <v>791</v>
      </c>
    </row>
    <row r="132" spans="1:44">
      <c r="A132" s="1">
        <v>44713</v>
      </c>
      <c r="B132" s="3">
        <v>27</v>
      </c>
      <c r="C132" s="3">
        <v>10963.23</v>
      </c>
      <c r="D132" s="3">
        <v>11523.54</v>
      </c>
      <c r="G132" s="3">
        <f t="shared" si="148"/>
        <v>60087.060000000005</v>
      </c>
      <c r="H132">
        <f t="shared" ref="H132" si="471">H131+C132</f>
        <v>1445920.89</v>
      </c>
      <c r="I132">
        <f t="shared" ref="I132" si="472">I131+D132</f>
        <v>1379299.5799999998</v>
      </c>
      <c r="J132" s="1">
        <f t="shared" si="389"/>
        <v>44713</v>
      </c>
      <c r="K132">
        <f>126+851+13</f>
        <v>990</v>
      </c>
      <c r="L132">
        <f>202+139+248+6</f>
        <v>595</v>
      </c>
      <c r="M132" s="3">
        <f t="shared" ref="M132:M133" si="473">SUM(K132:L132)</f>
        <v>1585</v>
      </c>
      <c r="N132" s="3">
        <f t="shared" ref="N132" si="474">(M132+M131+M130)/3</f>
        <v>1517.3333333333333</v>
      </c>
      <c r="O132" s="3">
        <f t="shared" ref="O132" si="475">SUM(N121:N132)/12</f>
        <v>1129.6944444444446</v>
      </c>
      <c r="P132" s="3">
        <f t="shared" ref="P132" si="476">P131+M132</f>
        <v>152189</v>
      </c>
      <c r="Q132" s="4">
        <f t="shared" ref="Q132" si="477">I132/P132</f>
        <v>9.0630701299042631</v>
      </c>
      <c r="R132" s="17">
        <f t="shared" ref="R132" si="478">SUM(M121:M132)</f>
        <v>14384</v>
      </c>
      <c r="S132" s="6" t="s">
        <v>19</v>
      </c>
      <c r="T132" s="97">
        <f t="shared" si="349"/>
        <v>7.2703722397476342</v>
      </c>
      <c r="V132" s="5">
        <v>215</v>
      </c>
      <c r="W132" s="5">
        <v>275</v>
      </c>
      <c r="X132" s="5">
        <v>200</v>
      </c>
      <c r="Y132" s="5">
        <f t="shared" si="434"/>
        <v>475</v>
      </c>
      <c r="Z132" s="5">
        <f t="shared" si="416"/>
        <v>6450</v>
      </c>
      <c r="AA132" s="38">
        <f t="shared" ref="AA132" si="479">AA131+V132</f>
        <v>20988</v>
      </c>
      <c r="AB132">
        <f t="shared" ref="AB132" si="480">AB131+W132</f>
        <v>27587</v>
      </c>
      <c r="AC132">
        <f t="shared" ref="AC132" si="481">AC131+X132</f>
        <v>17336</v>
      </c>
      <c r="AD132">
        <f t="shared" ref="AD132" si="482">AD131+Y132</f>
        <v>44923</v>
      </c>
      <c r="AE132" s="39">
        <f t="shared" ref="AE132" si="483">AD132/AA132</f>
        <v>2.1404135696588527</v>
      </c>
      <c r="AF132" s="3">
        <f t="shared" ref="AF132" si="484">SUM(V121:V132)</f>
        <v>3194</v>
      </c>
      <c r="AG132" s="3">
        <f t="shared" ref="AG132" si="485">SUM(W121:W132)</f>
        <v>3371</v>
      </c>
      <c r="AH132" s="3">
        <f t="shared" ref="AH132" si="486">SUM(X121:X132)</f>
        <v>2439</v>
      </c>
      <c r="AI132" s="3">
        <f t="shared" ref="AI132" si="487">SUM(Y121:Y132)</f>
        <v>5810</v>
      </c>
      <c r="AJ132" s="3">
        <f t="shared" ref="AJ132" si="488">SUM(Z121:Z132)</f>
        <v>119589</v>
      </c>
      <c r="AK132" s="1">
        <v>44713</v>
      </c>
      <c r="AL132" s="3">
        <f t="shared" ref="AL132" si="489">K132-W132</f>
        <v>715</v>
      </c>
      <c r="AM132" s="3">
        <f t="shared" ref="AM132" si="490">L132-X132</f>
        <v>395</v>
      </c>
      <c r="AN132" s="3">
        <f t="shared" ref="AN132" si="491">AL132+AM132</f>
        <v>1110</v>
      </c>
      <c r="AO132" s="34">
        <f t="shared" ref="AO132:AO133" si="492">Y132/(AN132+Y132)</f>
        <v>0.29968454258675081</v>
      </c>
      <c r="AQ132" s="1">
        <f t="shared" ref="AQ132:AQ133" si="493">A132</f>
        <v>44713</v>
      </c>
      <c r="AR132" s="53">
        <f t="shared" ref="AR132:AR133" si="494">M132-M120</f>
        <v>846</v>
      </c>
    </row>
    <row r="133" spans="1:44">
      <c r="A133" s="1">
        <v>44743</v>
      </c>
      <c r="B133" s="3">
        <v>28</v>
      </c>
      <c r="C133" s="3">
        <v>17056.77</v>
      </c>
      <c r="D133" s="3">
        <v>13013.78</v>
      </c>
      <c r="G133" s="3">
        <f t="shared" ref="G133" si="495">G132+C133-D133</f>
        <v>64130.05</v>
      </c>
      <c r="H133">
        <f t="shared" ref="H133" si="496">H132+C133</f>
        <v>1462977.66</v>
      </c>
      <c r="I133">
        <f t="shared" ref="I133" si="497">I132+D133</f>
        <v>1392313.3599999999</v>
      </c>
      <c r="J133" s="1">
        <f t="shared" si="389"/>
        <v>44743</v>
      </c>
      <c r="K133">
        <f>98+563+11+11</f>
        <v>683</v>
      </c>
      <c r="L133">
        <f>94+84+147+10</f>
        <v>335</v>
      </c>
      <c r="M133" s="3">
        <f t="shared" si="473"/>
        <v>1018</v>
      </c>
      <c r="N133" s="3">
        <f t="shared" ref="N133" si="498">(M133+M132+M131)/3</f>
        <v>1367</v>
      </c>
      <c r="O133" s="3">
        <f t="shared" ref="O133" si="499">SUM(N122:N133)/12</f>
        <v>1182.5277777777778</v>
      </c>
      <c r="P133" s="3">
        <f t="shared" ref="P133" si="500">P132+M133</f>
        <v>153207</v>
      </c>
      <c r="Q133" s="4">
        <f t="shared" ref="Q133:Q135" si="501">I133/P133</f>
        <v>9.0877920721638041</v>
      </c>
      <c r="R133" s="17">
        <f t="shared" ref="R133:R135" si="502">SUM(M122:M133)</f>
        <v>14649</v>
      </c>
      <c r="S133" s="6" t="s">
        <v>19</v>
      </c>
      <c r="T133" s="97">
        <f t="shared" ref="T133:T135" si="503">D133/M133</f>
        <v>12.783673870333988</v>
      </c>
      <c r="V133" s="5">
        <v>145</v>
      </c>
      <c r="W133" s="5">
        <v>176</v>
      </c>
      <c r="X133" s="5">
        <v>81</v>
      </c>
      <c r="Y133" s="5">
        <f t="shared" si="434"/>
        <v>257</v>
      </c>
      <c r="Z133" s="5">
        <f t="shared" si="416"/>
        <v>4350</v>
      </c>
      <c r="AA133" s="38">
        <f t="shared" ref="AA133" si="504">AA132+V133</f>
        <v>21133</v>
      </c>
      <c r="AB133">
        <f t="shared" ref="AB133" si="505">AB132+W133</f>
        <v>27763</v>
      </c>
      <c r="AC133">
        <f t="shared" ref="AC133" si="506">AC132+X133</f>
        <v>17417</v>
      </c>
      <c r="AD133">
        <f t="shared" ref="AD133" si="507">AD132+Y133</f>
        <v>45180</v>
      </c>
      <c r="AE133" s="39">
        <f t="shared" ref="AE133" si="508">AD133/AA133</f>
        <v>2.1378886102304451</v>
      </c>
      <c r="AF133" s="3">
        <f t="shared" ref="AF133" si="509">SUM(V122:V133)</f>
        <v>3193</v>
      </c>
      <c r="AG133" s="3">
        <f t="shared" ref="AG133" si="510">SUM(W122:W133)</f>
        <v>3458</v>
      </c>
      <c r="AH133" s="3">
        <f t="shared" ref="AH133" si="511">SUM(X122:X133)</f>
        <v>2463</v>
      </c>
      <c r="AI133" s="3">
        <f t="shared" ref="AI133" si="512">SUM(Y122:Y133)</f>
        <v>5921</v>
      </c>
      <c r="AJ133" s="3">
        <f t="shared" ref="AJ133" si="513">SUM(Z122:Z133)</f>
        <v>119559</v>
      </c>
      <c r="AK133" s="1">
        <v>44743</v>
      </c>
      <c r="AL133" s="3">
        <f t="shared" ref="AL133" si="514">K133-W133</f>
        <v>507</v>
      </c>
      <c r="AM133" s="3">
        <f t="shared" ref="AM133" si="515">L133-X133</f>
        <v>254</v>
      </c>
      <c r="AN133" s="3">
        <f t="shared" ref="AN133" si="516">AL133+AM133</f>
        <v>761</v>
      </c>
      <c r="AO133" s="34">
        <f t="shared" si="492"/>
        <v>0.25245579567779963</v>
      </c>
      <c r="AQ133" s="1">
        <f t="shared" si="493"/>
        <v>44743</v>
      </c>
      <c r="AR133" s="53">
        <f t="shared" si="494"/>
        <v>265</v>
      </c>
    </row>
    <row r="134" spans="1:44">
      <c r="A134" s="1">
        <v>44774</v>
      </c>
      <c r="B134" s="3">
        <v>28</v>
      </c>
      <c r="C134" s="3">
        <v>13336.78</v>
      </c>
      <c r="D134" s="3">
        <v>11688.38</v>
      </c>
      <c r="G134" s="3">
        <f t="shared" ref="G134" si="517">G133+C134-D134</f>
        <v>65778.45</v>
      </c>
      <c r="H134">
        <f t="shared" ref="H134" si="518">H133+C134</f>
        <v>1476314.44</v>
      </c>
      <c r="I134">
        <f t="shared" ref="I134" si="519">I133+D134</f>
        <v>1404001.7399999998</v>
      </c>
      <c r="J134" s="1">
        <f t="shared" ref="J134:J135" si="520">+A134</f>
        <v>44774</v>
      </c>
      <c r="K134">
        <f>129+775+18+3</f>
        <v>925</v>
      </c>
      <c r="L134">
        <f>177+145+274+3</f>
        <v>599</v>
      </c>
      <c r="M134" s="3">
        <f t="shared" ref="M134" si="521">SUM(K134:L134)</f>
        <v>1524</v>
      </c>
      <c r="N134" s="3">
        <f t="shared" ref="N134" si="522">(M134+M133+M132)/3</f>
        <v>1375.6666666666667</v>
      </c>
      <c r="O134" s="3">
        <f t="shared" ref="O134" si="523">SUM(N123:N134)/12</f>
        <v>1237.1944444444446</v>
      </c>
      <c r="P134" s="3">
        <f t="shared" ref="P134" si="524">P133+M134</f>
        <v>154731</v>
      </c>
      <c r="Q134" s="4">
        <f t="shared" si="501"/>
        <v>9.0738232157744712</v>
      </c>
      <c r="R134" s="17">
        <f t="shared" si="502"/>
        <v>15506</v>
      </c>
      <c r="S134" s="6" t="s">
        <v>19</v>
      </c>
      <c r="T134" s="97">
        <f t="shared" si="503"/>
        <v>7.6695406824146977</v>
      </c>
      <c r="V134" s="5">
        <v>234</v>
      </c>
      <c r="W134" s="5">
        <v>283</v>
      </c>
      <c r="X134" s="5">
        <v>201</v>
      </c>
      <c r="Y134" s="5">
        <f t="shared" ref="Y134:Y135" si="525">X134+W134</f>
        <v>484</v>
      </c>
      <c r="Z134" s="5">
        <f t="shared" si="416"/>
        <v>7020</v>
      </c>
      <c r="AA134" s="38">
        <f t="shared" ref="AA134" si="526">AA133+V134</f>
        <v>21367</v>
      </c>
      <c r="AB134">
        <f t="shared" ref="AB134" si="527">AB133+W134</f>
        <v>28046</v>
      </c>
      <c r="AC134">
        <f t="shared" ref="AC134" si="528">AC133+X134</f>
        <v>17618</v>
      </c>
      <c r="AD134">
        <f t="shared" ref="AD134" si="529">AD133+Y134</f>
        <v>45664</v>
      </c>
      <c r="AE134" s="39">
        <f t="shared" ref="AE134" si="530">AD134/AA134</f>
        <v>2.1371273459072402</v>
      </c>
      <c r="AF134" s="3">
        <f t="shared" ref="AF134" si="531">SUM(V123:V134)</f>
        <v>3283</v>
      </c>
      <c r="AG134" s="3">
        <f t="shared" ref="AG134" si="532">SUM(W123:W134)</f>
        <v>3646</v>
      </c>
      <c r="AH134" s="3">
        <f t="shared" ref="AH134" si="533">SUM(X123:X134)</f>
        <v>2615</v>
      </c>
      <c r="AI134" s="3">
        <f t="shared" ref="AI134" si="534">SUM(Y123:Y134)</f>
        <v>6261</v>
      </c>
      <c r="AJ134" s="3">
        <f t="shared" ref="AJ134" si="535">SUM(Z123:Z134)</f>
        <v>122259</v>
      </c>
      <c r="AK134" s="1">
        <v>44774</v>
      </c>
      <c r="AL134" s="3">
        <f t="shared" ref="AL134:AL135" si="536">K134-W134</f>
        <v>642</v>
      </c>
      <c r="AM134" s="3">
        <f t="shared" ref="AM134:AM135" si="537">L134-X134</f>
        <v>398</v>
      </c>
      <c r="AN134" s="3">
        <f t="shared" ref="AN134:AN135" si="538">AL134+AM134</f>
        <v>1040</v>
      </c>
      <c r="AO134" s="34">
        <f t="shared" ref="AO134:AO135" si="539">Y134/(AN134+Y134)</f>
        <v>0.31758530183727035</v>
      </c>
      <c r="AQ134" s="1">
        <f t="shared" ref="AQ134" si="540">A134</f>
        <v>44774</v>
      </c>
      <c r="AR134" s="53">
        <f t="shared" ref="AR134" si="541">M134-M122</f>
        <v>857</v>
      </c>
    </row>
    <row r="135" spans="1:44">
      <c r="A135" s="1">
        <v>44805</v>
      </c>
      <c r="B135" s="3">
        <v>28</v>
      </c>
      <c r="C135" s="3">
        <v>25554.48</v>
      </c>
      <c r="D135" s="3">
        <v>17128.12</v>
      </c>
      <c r="G135" s="3">
        <f t="shared" ref="G135" si="542">G134+C135-D135</f>
        <v>74204.81</v>
      </c>
      <c r="H135">
        <f t="shared" ref="H135" si="543">H134+C135</f>
        <v>1501868.92</v>
      </c>
      <c r="I135">
        <f t="shared" ref="I135" si="544">I134+D135</f>
        <v>1421129.8599999999</v>
      </c>
      <c r="J135" s="1">
        <f t="shared" si="520"/>
        <v>44805</v>
      </c>
      <c r="K135">
        <f>145+999+20+5</f>
        <v>1169</v>
      </c>
      <c r="L135">
        <f>209+190+351+3</f>
        <v>753</v>
      </c>
      <c r="M135" s="3">
        <f t="shared" ref="M135" si="545">SUM(K135:L135)</f>
        <v>1922</v>
      </c>
      <c r="N135" s="3">
        <f t="shared" ref="N135" si="546">(M135+M134+M133)/3</f>
        <v>1488</v>
      </c>
      <c r="O135" s="3">
        <f t="shared" ref="O135" si="547">SUM(N124:N135)/12</f>
        <v>1299</v>
      </c>
      <c r="P135" s="3">
        <f t="shared" ref="P135" si="548">P134+M135</f>
        <v>156653</v>
      </c>
      <c r="Q135" s="4">
        <f t="shared" si="501"/>
        <v>9.0718330322432372</v>
      </c>
      <c r="R135" s="17">
        <f t="shared" si="502"/>
        <v>16609</v>
      </c>
      <c r="S135" s="6" t="s">
        <v>19</v>
      </c>
      <c r="T135" s="97">
        <f t="shared" si="503"/>
        <v>8.9116129032258051</v>
      </c>
      <c r="V135" s="5">
        <v>252</v>
      </c>
      <c r="W135" s="5">
        <v>323</v>
      </c>
      <c r="X135" s="5">
        <v>305</v>
      </c>
      <c r="Y135" s="5">
        <f t="shared" si="525"/>
        <v>628</v>
      </c>
      <c r="Z135" s="5">
        <f t="shared" si="416"/>
        <v>7560</v>
      </c>
      <c r="AA135" s="38">
        <f t="shared" ref="AA135" si="549">AA134+V135</f>
        <v>21619</v>
      </c>
      <c r="AB135">
        <f t="shared" ref="AB135" si="550">AB134+W135</f>
        <v>28369</v>
      </c>
      <c r="AC135">
        <f t="shared" ref="AC135" si="551">AC134+X135</f>
        <v>17923</v>
      </c>
      <c r="AD135">
        <f t="shared" ref="AD135" si="552">AD134+Y135</f>
        <v>46292</v>
      </c>
      <c r="AE135" s="39">
        <f t="shared" ref="AE135" si="553">AD135/AA135</f>
        <v>2.1412646283361858</v>
      </c>
      <c r="AF135" s="3">
        <f t="shared" ref="AF135" si="554">SUM(V124:V135)</f>
        <v>3292</v>
      </c>
      <c r="AG135" s="3">
        <f t="shared" ref="AG135" si="555">SUM(W124:W135)</f>
        <v>3819</v>
      </c>
      <c r="AH135" s="3">
        <f t="shared" ref="AH135" si="556">SUM(X124:X135)</f>
        <v>2827</v>
      </c>
      <c r="AI135" s="3">
        <f t="shared" ref="AI135" si="557">SUM(Y124:Y135)</f>
        <v>6646</v>
      </c>
      <c r="AJ135" s="3">
        <f t="shared" ref="AJ135" si="558">SUM(Z124:Z135)</f>
        <v>122529</v>
      </c>
      <c r="AK135" s="1">
        <v>44805</v>
      </c>
      <c r="AL135" s="3">
        <f t="shared" si="536"/>
        <v>846</v>
      </c>
      <c r="AM135" s="3">
        <f t="shared" si="537"/>
        <v>448</v>
      </c>
      <c r="AN135" s="3">
        <f t="shared" si="538"/>
        <v>1294</v>
      </c>
      <c r="AO135" s="34">
        <f t="shared" si="539"/>
        <v>0.3267429760665973</v>
      </c>
      <c r="AQ135" s="1">
        <f t="shared" ref="AQ135" si="559">A135</f>
        <v>44805</v>
      </c>
      <c r="AR135" s="53">
        <f t="shared" ref="AR135" si="560">M135-M123</f>
        <v>1103</v>
      </c>
    </row>
  </sheetData>
  <phoneticPr fontId="1" type="noConversion"/>
  <pageMargins left="0.47244094488188981" right="0.31496062992125984" top="0.59055118110236227" bottom="0.5511811023622047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T194"/>
  <sheetViews>
    <sheetView zoomScaleNormal="100" workbookViewId="0">
      <pane xSplit="1" ySplit="1" topLeftCell="B174" activePane="bottomRight" state="frozen"/>
      <selection pane="bottomRight" activeCell="S192" sqref="S192"/>
      <selection pane="bottomLeft" activeCell="A2" sqref="A2"/>
      <selection pane="topRight" activeCell="B1" sqref="B1"/>
    </sheetView>
  </sheetViews>
  <sheetFormatPr defaultRowHeight="12.75"/>
  <cols>
    <col min="1" max="1" width="23" customWidth="1"/>
    <col min="2" max="2" width="7.85546875" customWidth="1"/>
    <col min="3" max="4" width="8.28515625" bestFit="1" customWidth="1"/>
    <col min="5" max="5" width="6.42578125" bestFit="1" customWidth="1"/>
    <col min="6" max="7" width="6.7109375" bestFit="1" customWidth="1"/>
    <col min="8" max="8" width="5.7109375" bestFit="1" customWidth="1"/>
    <col min="9" max="10" width="8.28515625" bestFit="1" customWidth="1"/>
    <col min="11" max="13" width="7.7109375" bestFit="1" customWidth="1"/>
    <col min="14" max="14" width="7" customWidth="1"/>
    <col min="15" max="15" width="8.28515625" bestFit="1" customWidth="1"/>
    <col min="16" max="16" width="8.5703125" customWidth="1"/>
    <col min="17" max="18" width="7.7109375" bestFit="1" customWidth="1"/>
    <col min="19" max="19" width="6.85546875" bestFit="1" customWidth="1"/>
    <col min="20" max="20" width="6.42578125" customWidth="1"/>
    <col min="21" max="21" width="8.28515625" bestFit="1" customWidth="1"/>
    <col min="23" max="23" width="6.5703125" bestFit="1" customWidth="1"/>
    <col min="24" max="24" width="7.140625" customWidth="1"/>
    <col min="25" max="25" width="6.85546875" bestFit="1" customWidth="1"/>
    <col min="26" max="26" width="6.28515625" customWidth="1"/>
    <col min="27" max="27" width="7.85546875" bestFit="1" customWidth="1"/>
    <col min="37" max="37" width="9.5703125" customWidth="1"/>
    <col min="38" max="38" width="18.28515625" customWidth="1"/>
  </cols>
  <sheetData>
    <row r="1" spans="1:4" ht="15.75">
      <c r="A1" s="16" t="s">
        <v>58</v>
      </c>
    </row>
    <row r="2" spans="1:4" ht="15.75">
      <c r="A2" s="16"/>
    </row>
    <row r="3" spans="1:4">
      <c r="A3" s="28">
        <v>2012</v>
      </c>
      <c r="B3" s="13">
        <v>2012</v>
      </c>
    </row>
    <row r="5" spans="1:4">
      <c r="A5" s="15" t="s">
        <v>59</v>
      </c>
      <c r="B5">
        <v>903</v>
      </c>
      <c r="C5" s="14">
        <f>B5/B$17</f>
        <v>0.19319640564826701</v>
      </c>
      <c r="D5" s="14"/>
    </row>
    <row r="6" spans="1:4">
      <c r="A6" s="15" t="s">
        <v>60</v>
      </c>
      <c r="B6">
        <v>1307</v>
      </c>
      <c r="C6" s="14">
        <f t="shared" ref="C6:C16" si="0">B6/B$17</f>
        <v>0.27963200684638423</v>
      </c>
    </row>
    <row r="7" spans="1:4">
      <c r="A7" s="15" t="s">
        <v>61</v>
      </c>
      <c r="B7">
        <v>47</v>
      </c>
      <c r="C7" s="14">
        <f t="shared" si="0"/>
        <v>1.0055626872058195E-2</v>
      </c>
    </row>
    <row r="8" spans="1:4">
      <c r="A8" s="15" t="s">
        <v>62</v>
      </c>
      <c r="B8">
        <v>371</v>
      </c>
      <c r="C8" s="14">
        <f t="shared" si="0"/>
        <v>7.9375267436884889E-2</v>
      </c>
    </row>
    <row r="9" spans="1:4">
      <c r="A9" s="15" t="s">
        <v>63</v>
      </c>
      <c r="B9">
        <v>32</v>
      </c>
      <c r="C9" s="14">
        <f t="shared" si="0"/>
        <v>6.8463842533162175E-3</v>
      </c>
    </row>
    <row r="10" spans="1:4">
      <c r="A10" s="15" t="s">
        <v>64</v>
      </c>
      <c r="B10">
        <v>56</v>
      </c>
      <c r="C10" s="14">
        <f t="shared" si="0"/>
        <v>1.198117244330338E-2</v>
      </c>
    </row>
    <row r="11" spans="1:4">
      <c r="A11" s="15" t="s">
        <v>65</v>
      </c>
      <c r="B11">
        <v>279</v>
      </c>
      <c r="C11" s="14">
        <f t="shared" si="0"/>
        <v>5.9691912708600768E-2</v>
      </c>
    </row>
    <row r="12" spans="1:4">
      <c r="A12" s="15" t="s">
        <v>66</v>
      </c>
      <c r="B12">
        <v>925</v>
      </c>
      <c r="C12" s="14">
        <f t="shared" si="0"/>
        <v>0.19790329482242192</v>
      </c>
    </row>
    <row r="13" spans="1:4">
      <c r="A13" s="15" t="s">
        <v>67</v>
      </c>
      <c r="B13">
        <v>398</v>
      </c>
      <c r="C13" s="14">
        <f t="shared" si="0"/>
        <v>8.5151904150620447E-2</v>
      </c>
    </row>
    <row r="14" spans="1:4">
      <c r="A14" s="15" t="s">
        <v>68</v>
      </c>
      <c r="B14">
        <v>137</v>
      </c>
      <c r="C14" s="14">
        <f t="shared" si="0"/>
        <v>2.9311082584510057E-2</v>
      </c>
    </row>
    <row r="15" spans="1:4">
      <c r="A15" s="15" t="s">
        <v>69</v>
      </c>
      <c r="B15">
        <v>48</v>
      </c>
      <c r="C15" s="14">
        <f t="shared" si="0"/>
        <v>1.0269576379974325E-2</v>
      </c>
    </row>
    <row r="16" spans="1:4">
      <c r="A16" s="15" t="s">
        <v>70</v>
      </c>
      <c r="B16">
        <v>171</v>
      </c>
      <c r="C16" s="14">
        <f t="shared" si="0"/>
        <v>3.6585365853658534E-2</v>
      </c>
    </row>
    <row r="17" spans="1:13">
      <c r="B17">
        <f>SUM(B5:B16)</f>
        <v>4674</v>
      </c>
    </row>
    <row r="19" spans="1:13">
      <c r="A19" s="28">
        <v>2013</v>
      </c>
      <c r="B19" s="1">
        <v>41275</v>
      </c>
      <c r="C19" s="1">
        <v>41306</v>
      </c>
      <c r="D19" s="1">
        <v>41334</v>
      </c>
      <c r="I19" s="1">
        <v>41365</v>
      </c>
      <c r="J19" s="1">
        <v>41395</v>
      </c>
      <c r="K19" s="1">
        <v>41426</v>
      </c>
    </row>
    <row r="21" spans="1:13">
      <c r="A21" s="15" t="s">
        <v>59</v>
      </c>
      <c r="B21" s="13">
        <v>82</v>
      </c>
      <c r="C21" s="13">
        <v>136</v>
      </c>
      <c r="D21" s="13">
        <v>132</v>
      </c>
      <c r="E21">
        <f>SUM(B21:D21)</f>
        <v>350</v>
      </c>
      <c r="F21" s="14">
        <f t="shared" ref="F21:F33" si="1">E21/E$33</f>
        <v>0.17976373908577298</v>
      </c>
      <c r="G21" s="3">
        <f t="shared" ref="G21:G33" si="2">B5+E21</f>
        <v>1253</v>
      </c>
      <c r="H21" s="14">
        <f t="shared" ref="H21:H33" si="3">G21/G$33</f>
        <v>0.18924633741126717</v>
      </c>
      <c r="I21" s="13">
        <v>178</v>
      </c>
      <c r="J21" s="13">
        <v>231</v>
      </c>
      <c r="K21" s="13">
        <v>229</v>
      </c>
      <c r="L21">
        <f>SUM(I21:K21)</f>
        <v>638</v>
      </c>
      <c r="M21" s="14">
        <f t="shared" ref="M21:M33" si="4">L21/L$33</f>
        <v>0.22496473906911144</v>
      </c>
    </row>
    <row r="22" spans="1:13">
      <c r="A22" s="15" t="s">
        <v>60</v>
      </c>
      <c r="B22" s="13">
        <v>202</v>
      </c>
      <c r="C22" s="13">
        <v>231</v>
      </c>
      <c r="D22" s="13">
        <v>227</v>
      </c>
      <c r="E22">
        <f t="shared" ref="E22:E33" si="5">SUM(B22:D22)</f>
        <v>660</v>
      </c>
      <c r="F22" s="14">
        <f t="shared" si="1"/>
        <v>0.33898305084745761</v>
      </c>
      <c r="G22" s="3">
        <f t="shared" si="2"/>
        <v>1967</v>
      </c>
      <c r="H22" s="14">
        <f t="shared" si="3"/>
        <v>0.29708503247243617</v>
      </c>
      <c r="I22" s="13">
        <v>337</v>
      </c>
      <c r="J22" s="13">
        <v>437</v>
      </c>
      <c r="K22" s="13">
        <v>353</v>
      </c>
      <c r="L22">
        <f t="shared" ref="L22:L32" si="6">SUM(I22:K22)</f>
        <v>1127</v>
      </c>
      <c r="M22" s="14">
        <f t="shared" si="4"/>
        <v>0.39739069111424541</v>
      </c>
    </row>
    <row r="23" spans="1:13">
      <c r="A23" s="15" t="s">
        <v>61</v>
      </c>
      <c r="B23" s="13">
        <v>1</v>
      </c>
      <c r="C23" s="13">
        <v>0</v>
      </c>
      <c r="D23" s="13">
        <v>8</v>
      </c>
      <c r="E23">
        <f t="shared" si="5"/>
        <v>9</v>
      </c>
      <c r="F23" s="14">
        <f t="shared" si="1"/>
        <v>4.6224961479198771E-3</v>
      </c>
      <c r="G23" s="3">
        <f t="shared" si="2"/>
        <v>56</v>
      </c>
      <c r="H23" s="14">
        <f t="shared" si="3"/>
        <v>8.4579368675426671E-3</v>
      </c>
      <c r="I23" s="13">
        <v>10</v>
      </c>
      <c r="J23" s="13">
        <v>5</v>
      </c>
      <c r="K23" s="13">
        <v>0</v>
      </c>
      <c r="L23">
        <f t="shared" si="6"/>
        <v>15</v>
      </c>
      <c r="M23" s="14">
        <f t="shared" si="4"/>
        <v>5.2891396332863183E-3</v>
      </c>
    </row>
    <row r="24" spans="1:13">
      <c r="A24" s="15" t="s">
        <v>62</v>
      </c>
      <c r="B24" s="13">
        <v>33</v>
      </c>
      <c r="C24" s="13">
        <v>48</v>
      </c>
      <c r="D24" s="13">
        <v>82</v>
      </c>
      <c r="E24">
        <f t="shared" si="5"/>
        <v>163</v>
      </c>
      <c r="F24" s="14">
        <f t="shared" si="1"/>
        <v>8.3718541345659994E-2</v>
      </c>
      <c r="G24" s="3">
        <f t="shared" si="2"/>
        <v>534</v>
      </c>
      <c r="H24" s="14">
        <f t="shared" si="3"/>
        <v>8.0652469415496142E-2</v>
      </c>
      <c r="I24" s="13">
        <v>59</v>
      </c>
      <c r="J24" s="13">
        <v>109</v>
      </c>
      <c r="K24" s="13">
        <v>61</v>
      </c>
      <c r="L24">
        <f t="shared" si="6"/>
        <v>229</v>
      </c>
      <c r="M24" s="14">
        <f t="shared" si="4"/>
        <v>8.0747531734837799E-2</v>
      </c>
    </row>
    <row r="25" spans="1:13">
      <c r="A25" s="15" t="s">
        <v>63</v>
      </c>
      <c r="B25" s="13">
        <v>1</v>
      </c>
      <c r="C25" s="13">
        <v>5</v>
      </c>
      <c r="D25" s="13">
        <v>1</v>
      </c>
      <c r="E25">
        <f t="shared" si="5"/>
        <v>7</v>
      </c>
      <c r="F25" s="14">
        <f t="shared" si="1"/>
        <v>3.5952747817154596E-3</v>
      </c>
      <c r="G25" s="3">
        <f t="shared" si="2"/>
        <v>39</v>
      </c>
      <c r="H25" s="14">
        <f t="shared" si="3"/>
        <v>5.8903488898957865E-3</v>
      </c>
      <c r="I25" s="13">
        <v>21</v>
      </c>
      <c r="J25" s="13">
        <v>9</v>
      </c>
      <c r="K25" s="13">
        <v>8</v>
      </c>
      <c r="L25">
        <f t="shared" si="6"/>
        <v>38</v>
      </c>
      <c r="M25" s="14">
        <f t="shared" si="4"/>
        <v>1.3399153737658674E-2</v>
      </c>
    </row>
    <row r="26" spans="1:13">
      <c r="A26" s="15" t="s">
        <v>64</v>
      </c>
      <c r="B26" s="13">
        <v>5</v>
      </c>
      <c r="C26" s="13">
        <v>5</v>
      </c>
      <c r="D26" s="13">
        <v>11</v>
      </c>
      <c r="E26">
        <f t="shared" si="5"/>
        <v>21</v>
      </c>
      <c r="F26" s="14">
        <f t="shared" si="1"/>
        <v>1.078582434514638E-2</v>
      </c>
      <c r="G26" s="3">
        <f t="shared" si="2"/>
        <v>77</v>
      </c>
      <c r="H26" s="14">
        <f t="shared" si="3"/>
        <v>1.1629663192871167E-2</v>
      </c>
      <c r="I26" s="13">
        <v>12</v>
      </c>
      <c r="J26" s="13">
        <v>3</v>
      </c>
      <c r="K26" s="13">
        <v>11</v>
      </c>
      <c r="L26">
        <f t="shared" si="6"/>
        <v>26</v>
      </c>
      <c r="M26" s="14">
        <f t="shared" si="4"/>
        <v>9.1678420310296188E-3</v>
      </c>
    </row>
    <row r="27" spans="1:13">
      <c r="A27" s="15" t="s">
        <v>65</v>
      </c>
      <c r="B27" s="13">
        <v>26</v>
      </c>
      <c r="C27" s="13">
        <v>32</v>
      </c>
      <c r="D27" s="13">
        <v>46</v>
      </c>
      <c r="E27">
        <f t="shared" si="5"/>
        <v>104</v>
      </c>
      <c r="F27" s="14">
        <f t="shared" si="1"/>
        <v>5.3415511042629683E-2</v>
      </c>
      <c r="G27" s="3">
        <f t="shared" si="2"/>
        <v>383</v>
      </c>
      <c r="H27" s="14">
        <f t="shared" si="3"/>
        <v>5.7846246790515025E-2</v>
      </c>
      <c r="I27" s="13">
        <v>23</v>
      </c>
      <c r="J27" s="13">
        <v>31</v>
      </c>
      <c r="K27" s="13">
        <v>18</v>
      </c>
      <c r="L27">
        <f t="shared" si="6"/>
        <v>72</v>
      </c>
      <c r="M27" s="14">
        <f t="shared" si="4"/>
        <v>2.5387870239774329E-2</v>
      </c>
    </row>
    <row r="28" spans="1:13">
      <c r="A28" s="15" t="s">
        <v>66</v>
      </c>
      <c r="B28" s="13">
        <v>79</v>
      </c>
      <c r="C28" s="13">
        <v>109</v>
      </c>
      <c r="D28" s="13">
        <v>115</v>
      </c>
      <c r="E28">
        <f t="shared" si="5"/>
        <v>303</v>
      </c>
      <c r="F28" s="14">
        <f t="shared" si="1"/>
        <v>0.15562403697996918</v>
      </c>
      <c r="G28" s="3">
        <f t="shared" si="2"/>
        <v>1228</v>
      </c>
      <c r="H28" s="14">
        <f t="shared" si="3"/>
        <v>0.18547047273825706</v>
      </c>
      <c r="I28" s="13">
        <v>142</v>
      </c>
      <c r="J28" s="13">
        <v>137</v>
      </c>
      <c r="K28" s="13">
        <v>102</v>
      </c>
      <c r="L28">
        <f t="shared" si="6"/>
        <v>381</v>
      </c>
      <c r="M28" s="14">
        <f t="shared" si="4"/>
        <v>0.13434414668547251</v>
      </c>
    </row>
    <row r="29" spans="1:13">
      <c r="A29" s="15" t="s">
        <v>67</v>
      </c>
      <c r="B29" s="13">
        <v>41</v>
      </c>
      <c r="C29" s="13">
        <v>21</v>
      </c>
      <c r="D29" s="13">
        <v>75</v>
      </c>
      <c r="E29">
        <f t="shared" si="5"/>
        <v>137</v>
      </c>
      <c r="F29" s="14">
        <f t="shared" si="1"/>
        <v>7.0364663585002568E-2</v>
      </c>
      <c r="G29" s="3">
        <f t="shared" si="2"/>
        <v>535</v>
      </c>
      <c r="H29" s="14">
        <f t="shared" si="3"/>
        <v>8.0803504002416551E-2</v>
      </c>
      <c r="I29" s="13">
        <v>45</v>
      </c>
      <c r="J29" s="13">
        <v>72</v>
      </c>
      <c r="K29" s="13">
        <v>58</v>
      </c>
      <c r="L29">
        <f t="shared" si="6"/>
        <v>175</v>
      </c>
      <c r="M29" s="14">
        <f t="shared" si="4"/>
        <v>6.1706629055007053E-2</v>
      </c>
    </row>
    <row r="30" spans="1:13">
      <c r="A30" s="15" t="s">
        <v>68</v>
      </c>
      <c r="B30" s="13">
        <v>20</v>
      </c>
      <c r="C30" s="13">
        <v>47</v>
      </c>
      <c r="D30" s="13">
        <v>47</v>
      </c>
      <c r="E30">
        <f t="shared" si="5"/>
        <v>114</v>
      </c>
      <c r="F30" s="14">
        <f t="shared" si="1"/>
        <v>5.8551617873651769E-2</v>
      </c>
      <c r="G30" s="3">
        <f t="shared" si="2"/>
        <v>251</v>
      </c>
      <c r="H30" s="14">
        <f t="shared" si="3"/>
        <v>3.7909681317021597E-2</v>
      </c>
      <c r="I30" s="13">
        <v>27</v>
      </c>
      <c r="J30" s="13">
        <v>13</v>
      </c>
      <c r="K30" s="13">
        <v>19</v>
      </c>
      <c r="L30">
        <f t="shared" si="6"/>
        <v>59</v>
      </c>
      <c r="M30" s="14">
        <f t="shared" si="4"/>
        <v>2.0803949224259519E-2</v>
      </c>
    </row>
    <row r="31" spans="1:13">
      <c r="A31" s="15" t="s">
        <v>69</v>
      </c>
      <c r="B31" s="13">
        <v>8</v>
      </c>
      <c r="C31" s="13">
        <v>11</v>
      </c>
      <c r="D31" s="13">
        <v>9</v>
      </c>
      <c r="E31">
        <f t="shared" si="5"/>
        <v>28</v>
      </c>
      <c r="F31" s="14">
        <f t="shared" si="1"/>
        <v>1.4381099126861838E-2</v>
      </c>
      <c r="G31" s="3">
        <f t="shared" si="2"/>
        <v>76</v>
      </c>
      <c r="H31" s="14">
        <f t="shared" si="3"/>
        <v>1.1478628605950763E-2</v>
      </c>
      <c r="I31" s="13">
        <v>14</v>
      </c>
      <c r="J31" s="13">
        <v>6</v>
      </c>
      <c r="K31" s="13">
        <v>23</v>
      </c>
      <c r="L31">
        <f t="shared" si="6"/>
        <v>43</v>
      </c>
      <c r="M31" s="14">
        <f t="shared" si="4"/>
        <v>1.5162200282087448E-2</v>
      </c>
    </row>
    <row r="32" spans="1:13">
      <c r="A32" s="15" t="s">
        <v>70</v>
      </c>
      <c r="B32" s="13">
        <v>30</v>
      </c>
      <c r="C32" s="13">
        <v>15</v>
      </c>
      <c r="D32" s="13">
        <v>6</v>
      </c>
      <c r="E32">
        <f t="shared" si="5"/>
        <v>51</v>
      </c>
      <c r="F32" s="14">
        <f t="shared" si="1"/>
        <v>2.6194144838212634E-2</v>
      </c>
      <c r="G32" s="3">
        <f t="shared" si="2"/>
        <v>222</v>
      </c>
      <c r="H32" s="14">
        <f t="shared" si="3"/>
        <v>3.3529678296329857E-2</v>
      </c>
      <c r="I32" s="13">
        <v>4</v>
      </c>
      <c r="J32" s="13">
        <v>4</v>
      </c>
      <c r="K32" s="13">
        <v>25</v>
      </c>
      <c r="L32">
        <f t="shared" si="6"/>
        <v>33</v>
      </c>
      <c r="M32" s="14">
        <f t="shared" si="4"/>
        <v>1.1636107193229901E-2</v>
      </c>
    </row>
    <row r="33" spans="1:46">
      <c r="B33" s="13">
        <f>SUM(B21:B32)</f>
        <v>528</v>
      </c>
      <c r="C33" s="13">
        <f>SUM(C21:C32)</f>
        <v>660</v>
      </c>
      <c r="D33" s="13">
        <f>SUM(D21:D32)</f>
        <v>759</v>
      </c>
      <c r="E33">
        <f t="shared" si="5"/>
        <v>1947</v>
      </c>
      <c r="F33" s="14">
        <f t="shared" si="1"/>
        <v>1</v>
      </c>
      <c r="G33" s="3">
        <f t="shared" si="2"/>
        <v>6621</v>
      </c>
      <c r="H33" s="14">
        <f t="shared" si="3"/>
        <v>1</v>
      </c>
      <c r="I33" s="13">
        <f>SUM(I21:I32)</f>
        <v>872</v>
      </c>
      <c r="J33" s="13">
        <f>SUM(J21:J32)</f>
        <v>1057</v>
      </c>
      <c r="K33" s="13">
        <f>SUM(K21:K32)</f>
        <v>907</v>
      </c>
      <c r="L33">
        <f>SUM(I33:K33)</f>
        <v>2836</v>
      </c>
      <c r="M33" s="14">
        <f t="shared" si="4"/>
        <v>1</v>
      </c>
    </row>
    <row r="35" spans="1:46">
      <c r="A35" s="28">
        <v>2014</v>
      </c>
      <c r="E35" s="1">
        <v>41640</v>
      </c>
      <c r="F35" s="1">
        <v>41671</v>
      </c>
    </row>
    <row r="37" spans="1:46">
      <c r="A37" s="15" t="s">
        <v>59</v>
      </c>
      <c r="B37">
        <v>3467</v>
      </c>
      <c r="C37" s="26">
        <f>B37/$B$49</f>
        <v>0.21933320680711077</v>
      </c>
      <c r="E37" s="14">
        <v>0.16572237960339944</v>
      </c>
      <c r="F37" s="14">
        <v>0.21221864951768488</v>
      </c>
    </row>
    <row r="38" spans="1:46" ht="13.5">
      <c r="A38" s="15" t="s">
        <v>60</v>
      </c>
      <c r="B38">
        <v>5678</v>
      </c>
      <c r="C38" s="26">
        <f t="shared" ref="C38:C48" si="7">B38/$B$49</f>
        <v>0.35920794584677673</v>
      </c>
      <c r="E38" s="14">
        <v>0.39589235127478756</v>
      </c>
      <c r="F38" s="14">
        <v>0.362540192926045</v>
      </c>
      <c r="AO38" s="36" t="s">
        <v>71</v>
      </c>
      <c r="AP38" s="36">
        <v>37</v>
      </c>
      <c r="AQ38" s="36">
        <v>36</v>
      </c>
      <c r="AR38" s="36">
        <v>48</v>
      </c>
      <c r="AS38" s="36">
        <v>21</v>
      </c>
      <c r="AT38" s="36">
        <v>69</v>
      </c>
    </row>
    <row r="39" spans="1:46" ht="13.5">
      <c r="A39" s="15" t="s">
        <v>61</v>
      </c>
      <c r="B39">
        <v>159</v>
      </c>
      <c r="C39" s="26">
        <f t="shared" si="7"/>
        <v>1.0058834693490226E-2</v>
      </c>
      <c r="E39" s="14">
        <v>0</v>
      </c>
      <c r="F39" s="14">
        <v>5.627009646302251E-3</v>
      </c>
      <c r="AO39" s="36" t="s">
        <v>72</v>
      </c>
      <c r="AP39" s="36">
        <v>20</v>
      </c>
      <c r="AQ39" s="36">
        <v>19</v>
      </c>
      <c r="AR39" s="36">
        <v>25</v>
      </c>
      <c r="AS39" s="36">
        <v>7</v>
      </c>
      <c r="AT39" s="36">
        <v>32</v>
      </c>
    </row>
    <row r="40" spans="1:46" ht="13.5">
      <c r="A40" s="15" t="s">
        <v>62</v>
      </c>
      <c r="B40">
        <v>1092</v>
      </c>
      <c r="C40" s="26">
        <f t="shared" si="7"/>
        <v>6.9083317517555518E-2</v>
      </c>
      <c r="E40" s="14">
        <v>7.9320113314447591E-2</v>
      </c>
      <c r="F40" s="14">
        <v>6.5112540192926047E-2</v>
      </c>
      <c r="AO40" s="36" t="s">
        <v>73</v>
      </c>
      <c r="AP40" s="36">
        <v>170</v>
      </c>
      <c r="AQ40" s="36">
        <v>179</v>
      </c>
      <c r="AR40" s="36">
        <v>224</v>
      </c>
      <c r="AS40" s="36">
        <v>139</v>
      </c>
      <c r="AT40" s="36">
        <v>363</v>
      </c>
    </row>
    <row r="41" spans="1:46" ht="13.5">
      <c r="A41" s="15" t="s">
        <v>63</v>
      </c>
      <c r="B41">
        <v>153</v>
      </c>
      <c r="C41" s="26">
        <f t="shared" si="7"/>
        <v>9.6792560258113503E-3</v>
      </c>
      <c r="E41" s="14">
        <v>6.3739376770538241E-3</v>
      </c>
      <c r="F41" s="14">
        <v>8.0385852090032149E-3</v>
      </c>
      <c r="AO41" s="36" t="s">
        <v>74</v>
      </c>
      <c r="AP41" s="36">
        <v>143</v>
      </c>
      <c r="AQ41" s="36">
        <v>130</v>
      </c>
      <c r="AR41" s="36">
        <v>168</v>
      </c>
      <c r="AS41" s="36">
        <v>54</v>
      </c>
      <c r="AT41" s="36">
        <v>222</v>
      </c>
    </row>
    <row r="42" spans="1:46" ht="13.5">
      <c r="A42" s="15" t="s">
        <v>64</v>
      </c>
      <c r="B42">
        <v>135</v>
      </c>
      <c r="C42" s="26">
        <f t="shared" si="7"/>
        <v>8.5405200227747207E-3</v>
      </c>
      <c r="E42" s="14">
        <v>2.8328611898016999E-3</v>
      </c>
      <c r="F42" s="14">
        <v>9.6463022508038593E-3</v>
      </c>
      <c r="AO42" s="36" t="s">
        <v>75</v>
      </c>
      <c r="AP42" s="36">
        <v>3</v>
      </c>
      <c r="AQ42" s="36">
        <v>3</v>
      </c>
      <c r="AR42" s="36">
        <v>5</v>
      </c>
      <c r="AS42" s="36">
        <v>6</v>
      </c>
      <c r="AT42" s="36">
        <v>11</v>
      </c>
    </row>
    <row r="43" spans="1:46" ht="13.5">
      <c r="A43" s="15" t="s">
        <v>65</v>
      </c>
      <c r="B43">
        <v>327</v>
      </c>
      <c r="C43" s="26">
        <f t="shared" si="7"/>
        <v>2.0687037388498766E-2</v>
      </c>
      <c r="E43" s="14">
        <v>2.9745042492917848E-2</v>
      </c>
      <c r="F43" s="14">
        <v>1.9292604501607719E-2</v>
      </c>
      <c r="AO43" s="36" t="s">
        <v>76</v>
      </c>
      <c r="AP43" s="36">
        <v>62</v>
      </c>
      <c r="AQ43" s="36">
        <v>58</v>
      </c>
      <c r="AR43" s="36">
        <v>78</v>
      </c>
      <c r="AS43" s="36">
        <v>15</v>
      </c>
      <c r="AT43" s="36">
        <v>93</v>
      </c>
    </row>
    <row r="44" spans="1:46" ht="13.5">
      <c r="A44" s="15" t="s">
        <v>66</v>
      </c>
      <c r="B44">
        <v>2987</v>
      </c>
      <c r="C44" s="26">
        <f t="shared" si="7"/>
        <v>0.18896691339280067</v>
      </c>
      <c r="E44" s="14">
        <v>0.19405099150141644</v>
      </c>
      <c r="F44" s="14">
        <v>0.16800643086816719</v>
      </c>
      <c r="AO44" s="36" t="s">
        <v>77</v>
      </c>
      <c r="AP44" s="36">
        <v>11</v>
      </c>
      <c r="AQ44" s="36">
        <v>10</v>
      </c>
      <c r="AR44" s="36">
        <v>16</v>
      </c>
      <c r="AS44" s="36">
        <v>3</v>
      </c>
      <c r="AT44" s="36">
        <v>19</v>
      </c>
    </row>
    <row r="45" spans="1:46" ht="13.5">
      <c r="A45" s="15" t="s">
        <v>67</v>
      </c>
      <c r="B45">
        <v>1059</v>
      </c>
      <c r="C45" s="26">
        <f t="shared" si="7"/>
        <v>6.6995634845321686E-2</v>
      </c>
      <c r="E45" s="14">
        <v>6.4447592067988668E-2</v>
      </c>
      <c r="F45" s="14">
        <v>7.0739549839228297E-2</v>
      </c>
      <c r="AO45" s="36" t="s">
        <v>78</v>
      </c>
      <c r="AP45" s="36">
        <v>17</v>
      </c>
      <c r="AQ45" s="36">
        <v>20</v>
      </c>
      <c r="AR45" s="36">
        <v>31</v>
      </c>
      <c r="AS45" s="36">
        <v>20</v>
      </c>
      <c r="AT45" s="36">
        <v>51</v>
      </c>
    </row>
    <row r="46" spans="1:46" ht="13.5">
      <c r="A46" s="15" t="s">
        <v>68</v>
      </c>
      <c r="B46">
        <v>5</v>
      </c>
      <c r="C46" s="26">
        <f t="shared" si="7"/>
        <v>3.1631555639906371E-4</v>
      </c>
      <c r="E46" s="14">
        <v>0</v>
      </c>
      <c r="F46" s="14">
        <v>8.0385852090032153E-4</v>
      </c>
      <c r="AO46" s="36" t="s">
        <v>79</v>
      </c>
      <c r="AP46" s="36">
        <v>50</v>
      </c>
      <c r="AQ46" s="36">
        <v>46</v>
      </c>
      <c r="AR46" s="36">
        <v>55</v>
      </c>
      <c r="AS46" s="36">
        <v>16</v>
      </c>
      <c r="AT46" s="36">
        <v>71</v>
      </c>
    </row>
    <row r="47" spans="1:46">
      <c r="A47" s="15" t="s">
        <v>69</v>
      </c>
      <c r="B47">
        <v>255</v>
      </c>
      <c r="C47" s="26">
        <f t="shared" si="7"/>
        <v>1.6132093376352248E-2</v>
      </c>
      <c r="E47" s="14">
        <v>2.2662889518413599E-2</v>
      </c>
      <c r="F47" s="14">
        <v>3.6977491961414789E-2</v>
      </c>
      <c r="AO47" s="36" t="s">
        <v>80</v>
      </c>
      <c r="AP47" s="36">
        <v>3</v>
      </c>
      <c r="AQ47" s="36">
        <v>3</v>
      </c>
      <c r="AR47" s="36">
        <v>3</v>
      </c>
      <c r="AS47" s="36">
        <v>0</v>
      </c>
      <c r="AT47" s="36">
        <v>3</v>
      </c>
    </row>
    <row r="48" spans="1:46">
      <c r="A48" s="15" t="s">
        <v>70</v>
      </c>
      <c r="B48">
        <v>490</v>
      </c>
      <c r="C48" s="26">
        <f t="shared" si="7"/>
        <v>3.0998924527108243E-2</v>
      </c>
      <c r="E48" s="14">
        <v>3.8951841359773372E-2</v>
      </c>
      <c r="F48" s="14">
        <v>4.0996784565916398E-2</v>
      </c>
    </row>
    <row r="49" spans="1:46">
      <c r="B49">
        <f>SUM(B37:B48)</f>
        <v>15807</v>
      </c>
      <c r="C49" s="26">
        <f>SUM(C37:C48)</f>
        <v>1</v>
      </c>
      <c r="E49">
        <v>1412</v>
      </c>
      <c r="F49">
        <v>1244</v>
      </c>
      <c r="AP49">
        <f>SUM(AP38:AP48)</f>
        <v>516</v>
      </c>
      <c r="AQ49">
        <f>SUM(AQ38:AQ48)</f>
        <v>504</v>
      </c>
      <c r="AR49">
        <f>SUM(AR38:AR48)</f>
        <v>653</v>
      </c>
      <c r="AS49">
        <f>SUM(AS38:AS48)</f>
        <v>281</v>
      </c>
      <c r="AT49">
        <f>SUM(AT38:AT48)</f>
        <v>934</v>
      </c>
    </row>
    <row r="51" spans="1:46">
      <c r="A51" s="28">
        <v>2015</v>
      </c>
      <c r="B51" s="102" t="s">
        <v>81</v>
      </c>
      <c r="C51" s="102"/>
      <c r="D51" s="29"/>
      <c r="E51" s="1">
        <v>42005</v>
      </c>
      <c r="F51" s="1">
        <v>42036</v>
      </c>
      <c r="G51" s="1">
        <v>42064</v>
      </c>
      <c r="H51" s="102" t="s">
        <v>82</v>
      </c>
      <c r="I51" s="102"/>
      <c r="K51" s="1">
        <v>42095</v>
      </c>
      <c r="L51" s="1">
        <v>42125</v>
      </c>
      <c r="M51" s="1">
        <v>42156</v>
      </c>
      <c r="N51" s="102" t="s">
        <v>83</v>
      </c>
      <c r="O51" s="102"/>
      <c r="Q51" s="1">
        <v>42186</v>
      </c>
      <c r="R51" s="1">
        <v>42217</v>
      </c>
      <c r="S51" s="1">
        <v>42248</v>
      </c>
      <c r="T51" s="102" t="s">
        <v>84</v>
      </c>
      <c r="U51" s="102"/>
      <c r="W51" s="1">
        <v>42278</v>
      </c>
      <c r="X51" s="1">
        <v>42309</v>
      </c>
      <c r="Y51" s="1">
        <v>42339</v>
      </c>
      <c r="Z51" s="102" t="s">
        <v>85</v>
      </c>
      <c r="AA51" s="102"/>
      <c r="AC51" s="102" t="s">
        <v>86</v>
      </c>
      <c r="AD51" s="102"/>
    </row>
    <row r="52" spans="1:46" ht="13.5">
      <c r="AO52" s="36" t="s">
        <v>71</v>
      </c>
      <c r="AP52" s="36">
        <v>49</v>
      </c>
      <c r="AQ52" s="36">
        <v>48</v>
      </c>
      <c r="AR52" s="36">
        <v>64</v>
      </c>
      <c r="AS52" s="36">
        <v>40</v>
      </c>
      <c r="AT52" s="36">
        <v>104</v>
      </c>
    </row>
    <row r="53" spans="1:46" ht="13.5">
      <c r="A53" s="15" t="s">
        <v>59</v>
      </c>
      <c r="B53">
        <v>3106</v>
      </c>
      <c r="C53" s="26">
        <f>B53/B$65</f>
        <v>0.21727876880027983</v>
      </c>
      <c r="E53">
        <v>235</v>
      </c>
      <c r="F53">
        <v>244</v>
      </c>
      <c r="G53">
        <v>224</v>
      </c>
      <c r="H53">
        <f>SUM(E53:G53)</f>
        <v>703</v>
      </c>
      <c r="I53" s="26">
        <f t="shared" ref="I53:I64" si="8">H53/$H$65</f>
        <v>0.23147843266381296</v>
      </c>
      <c r="K53">
        <v>178</v>
      </c>
      <c r="L53">
        <v>208</v>
      </c>
      <c r="M53">
        <v>308</v>
      </c>
      <c r="N53">
        <f>SUM(K53:M53)</f>
        <v>694</v>
      </c>
      <c r="O53" s="26">
        <f>N53/$N$65</f>
        <v>0.23249581239530989</v>
      </c>
      <c r="Q53">
        <v>246</v>
      </c>
      <c r="R53">
        <v>213</v>
      </c>
      <c r="S53">
        <v>305</v>
      </c>
      <c r="T53">
        <f>SUM(Q53:S53)</f>
        <v>764</v>
      </c>
      <c r="U53" s="26">
        <f t="shared" ref="U53:U64" si="9">T53/$T$65</f>
        <v>0.21600226180378851</v>
      </c>
      <c r="V53" s="15"/>
      <c r="W53">
        <v>286</v>
      </c>
      <c r="X53">
        <v>287</v>
      </c>
      <c r="Y53">
        <v>372</v>
      </c>
      <c r="Z53">
        <f>SUM(W53:Y53)</f>
        <v>945</v>
      </c>
      <c r="AA53" s="26">
        <f t="shared" ref="AA53:AA64" si="10">Z53/$Z$65</f>
        <v>0.20579268292682926</v>
      </c>
      <c r="AB53" s="15"/>
      <c r="AC53">
        <v>3484</v>
      </c>
      <c r="AD53" s="26">
        <f>AC53/$AC$65</f>
        <v>0.21651855074265117</v>
      </c>
      <c r="AO53" s="36" t="s">
        <v>72</v>
      </c>
      <c r="AP53" s="36">
        <v>24</v>
      </c>
      <c r="AQ53" s="36">
        <v>24</v>
      </c>
      <c r="AR53" s="36">
        <v>28</v>
      </c>
      <c r="AS53" s="36">
        <v>16</v>
      </c>
      <c r="AT53" s="36">
        <v>44</v>
      </c>
    </row>
    <row r="54" spans="1:46" ht="13.5">
      <c r="A54" s="15" t="s">
        <v>60</v>
      </c>
      <c r="B54">
        <v>4411</v>
      </c>
      <c r="C54" s="26">
        <f t="shared" ref="C54:C64" si="11">B54/$B$65</f>
        <v>0.30856942987058411</v>
      </c>
      <c r="E54">
        <v>260</v>
      </c>
      <c r="F54">
        <v>278</v>
      </c>
      <c r="G54">
        <v>392</v>
      </c>
      <c r="H54">
        <f t="shared" ref="H54:H64" si="12">SUM(E54:G54)</f>
        <v>930</v>
      </c>
      <c r="I54" s="26">
        <f t="shared" si="8"/>
        <v>0.30622324662495887</v>
      </c>
      <c r="K54">
        <v>236</v>
      </c>
      <c r="L54">
        <v>347</v>
      </c>
      <c r="M54">
        <v>344</v>
      </c>
      <c r="N54">
        <f t="shared" ref="N54:N63" si="13">SUM(K54:M54)</f>
        <v>927</v>
      </c>
      <c r="O54" s="26">
        <f t="shared" ref="O54:O64" si="14">N54/$N$65</f>
        <v>0.31055276381909547</v>
      </c>
      <c r="Q54">
        <v>381</v>
      </c>
      <c r="R54">
        <v>351</v>
      </c>
      <c r="S54">
        <v>419</v>
      </c>
      <c r="T54">
        <f t="shared" ref="T54:T63" si="15">SUM(Q54:S54)</f>
        <v>1151</v>
      </c>
      <c r="U54" s="26">
        <f t="shared" si="9"/>
        <v>0.32541702007350864</v>
      </c>
      <c r="V54" s="15"/>
      <c r="W54">
        <v>352</v>
      </c>
      <c r="X54">
        <v>423</v>
      </c>
      <c r="Y54">
        <v>583</v>
      </c>
      <c r="Z54">
        <f t="shared" ref="Z54:Z63" si="16">SUM(W54:Y54)</f>
        <v>1358</v>
      </c>
      <c r="AA54" s="26">
        <f t="shared" si="10"/>
        <v>0.29573170731707316</v>
      </c>
      <c r="AB54" s="15"/>
      <c r="AC54">
        <v>5019</v>
      </c>
      <c r="AD54" s="26">
        <f t="shared" ref="AD54:AD64" si="17">AC54/$AC$65</f>
        <v>0.3119134920141694</v>
      </c>
      <c r="AO54" s="36" t="s">
        <v>73</v>
      </c>
      <c r="AP54" s="36">
        <v>223</v>
      </c>
      <c r="AQ54" s="36">
        <v>189</v>
      </c>
      <c r="AR54" s="36">
        <v>252</v>
      </c>
      <c r="AS54" s="36">
        <v>123</v>
      </c>
      <c r="AT54" s="36">
        <v>375</v>
      </c>
    </row>
    <row r="55" spans="1:46" ht="13.5">
      <c r="A55" s="15" t="s">
        <v>61</v>
      </c>
      <c r="B55">
        <v>89</v>
      </c>
      <c r="C55" s="26">
        <f t="shared" si="11"/>
        <v>6.2259531304651979E-3</v>
      </c>
      <c r="H55">
        <f t="shared" si="12"/>
        <v>0</v>
      </c>
      <c r="I55" s="26">
        <f t="shared" si="8"/>
        <v>0</v>
      </c>
      <c r="K55">
        <v>13</v>
      </c>
      <c r="L55">
        <v>20</v>
      </c>
      <c r="M55">
        <v>5</v>
      </c>
      <c r="N55">
        <f t="shared" si="13"/>
        <v>38</v>
      </c>
      <c r="O55" s="26">
        <f t="shared" si="14"/>
        <v>1.2730318257956449E-2</v>
      </c>
      <c r="Q55">
        <v>5</v>
      </c>
      <c r="R55">
        <v>15</v>
      </c>
      <c r="S55">
        <v>4</v>
      </c>
      <c r="T55">
        <f t="shared" si="15"/>
        <v>24</v>
      </c>
      <c r="U55" s="26">
        <f t="shared" si="9"/>
        <v>6.7854113655640372E-3</v>
      </c>
      <c r="V55" s="15"/>
      <c r="W55">
        <v>0</v>
      </c>
      <c r="X55">
        <v>1</v>
      </c>
      <c r="Y55">
        <v>25</v>
      </c>
      <c r="Z55">
        <f t="shared" si="16"/>
        <v>26</v>
      </c>
      <c r="AA55" s="26">
        <f t="shared" si="10"/>
        <v>5.6620209059233453E-3</v>
      </c>
      <c r="AB55" s="15"/>
      <c r="AC55">
        <v>94</v>
      </c>
      <c r="AD55" s="26">
        <f t="shared" si="17"/>
        <v>5.841774905226524E-3</v>
      </c>
      <c r="AO55" s="36" t="s">
        <v>74</v>
      </c>
      <c r="AP55" s="36">
        <v>82</v>
      </c>
      <c r="AQ55" s="36">
        <v>92</v>
      </c>
      <c r="AR55" s="36">
        <v>110</v>
      </c>
      <c r="AS55" s="36">
        <v>51</v>
      </c>
      <c r="AT55" s="36">
        <v>161</v>
      </c>
    </row>
    <row r="56" spans="1:46" ht="13.5">
      <c r="A56" s="15" t="s">
        <v>62</v>
      </c>
      <c r="B56">
        <v>771</v>
      </c>
      <c r="C56" s="26">
        <f t="shared" si="11"/>
        <v>5.3934942287513117E-2</v>
      </c>
      <c r="E56">
        <v>112</v>
      </c>
      <c r="F56">
        <v>63</v>
      </c>
      <c r="G56">
        <v>45</v>
      </c>
      <c r="H56">
        <f t="shared" si="12"/>
        <v>220</v>
      </c>
      <c r="I56" s="26">
        <f t="shared" si="8"/>
        <v>7.24399078037537E-2</v>
      </c>
      <c r="K56">
        <v>49</v>
      </c>
      <c r="L56">
        <v>44</v>
      </c>
      <c r="M56">
        <v>65</v>
      </c>
      <c r="N56">
        <f t="shared" si="13"/>
        <v>158</v>
      </c>
      <c r="O56" s="26">
        <f t="shared" si="14"/>
        <v>5.2931323283082074E-2</v>
      </c>
      <c r="Q56">
        <v>62</v>
      </c>
      <c r="R56">
        <v>40</v>
      </c>
      <c r="S56">
        <v>65</v>
      </c>
      <c r="T56">
        <f t="shared" si="15"/>
        <v>167</v>
      </c>
      <c r="U56" s="26">
        <f t="shared" si="9"/>
        <v>4.7215154085383092E-2</v>
      </c>
      <c r="V56" s="15"/>
      <c r="W56">
        <v>62</v>
      </c>
      <c r="X56">
        <v>65</v>
      </c>
      <c r="Y56">
        <v>97</v>
      </c>
      <c r="Z56">
        <f t="shared" si="16"/>
        <v>224</v>
      </c>
      <c r="AA56" s="26">
        <f t="shared" si="10"/>
        <v>4.878048780487805E-2</v>
      </c>
      <c r="AB56" s="15"/>
      <c r="AC56">
        <v>839</v>
      </c>
      <c r="AD56" s="26">
        <f t="shared" si="17"/>
        <v>5.2140948356223973E-2</v>
      </c>
      <c r="AO56" s="36" t="s">
        <v>76</v>
      </c>
      <c r="AP56" s="36">
        <v>29</v>
      </c>
      <c r="AQ56" s="36">
        <v>27</v>
      </c>
      <c r="AR56" s="36">
        <v>44</v>
      </c>
      <c r="AS56" s="36">
        <v>18</v>
      </c>
      <c r="AT56" s="36">
        <v>62</v>
      </c>
    </row>
    <row r="57" spans="1:46" ht="13.5">
      <c r="A57" s="15" t="s">
        <v>63</v>
      </c>
      <c r="B57">
        <v>173</v>
      </c>
      <c r="C57" s="26">
        <f t="shared" si="11"/>
        <v>1.2102133613151451E-2</v>
      </c>
      <c r="E57">
        <v>15</v>
      </c>
      <c r="F57">
        <v>26</v>
      </c>
      <c r="G57">
        <v>2</v>
      </c>
      <c r="H57">
        <f t="shared" si="12"/>
        <v>43</v>
      </c>
      <c r="I57" s="26">
        <f t="shared" si="8"/>
        <v>1.415870925255186E-2</v>
      </c>
      <c r="K57">
        <v>7</v>
      </c>
      <c r="L57">
        <v>9</v>
      </c>
      <c r="M57">
        <v>18</v>
      </c>
      <c r="N57">
        <f t="shared" si="13"/>
        <v>34</v>
      </c>
      <c r="O57" s="26">
        <f t="shared" si="14"/>
        <v>1.1390284757118929E-2</v>
      </c>
      <c r="Q57">
        <v>15</v>
      </c>
      <c r="R57">
        <v>13</v>
      </c>
      <c r="S57">
        <v>19</v>
      </c>
      <c r="T57">
        <f t="shared" si="15"/>
        <v>47</v>
      </c>
      <c r="U57" s="26">
        <f t="shared" si="9"/>
        <v>1.3288097257562907E-2</v>
      </c>
      <c r="V57" s="15"/>
      <c r="W57">
        <v>28</v>
      </c>
      <c r="X57">
        <v>13</v>
      </c>
      <c r="Y57">
        <v>8</v>
      </c>
      <c r="Z57">
        <f t="shared" si="16"/>
        <v>49</v>
      </c>
      <c r="AA57" s="26">
        <f t="shared" si="10"/>
        <v>1.0670731707317074E-2</v>
      </c>
      <c r="AB57" s="15"/>
      <c r="AC57">
        <v>184</v>
      </c>
      <c r="AD57" s="26">
        <f t="shared" si="17"/>
        <v>1.1434963644273197E-2</v>
      </c>
      <c r="AO57" s="36" t="s">
        <v>87</v>
      </c>
      <c r="AP57" s="36">
        <v>14</v>
      </c>
      <c r="AQ57" s="36">
        <v>14</v>
      </c>
      <c r="AR57" s="36">
        <v>16</v>
      </c>
      <c r="AS57" s="36">
        <v>1</v>
      </c>
      <c r="AT57" s="36">
        <v>17</v>
      </c>
    </row>
    <row r="58" spans="1:46" ht="13.5">
      <c r="A58" s="15" t="s">
        <v>64</v>
      </c>
      <c r="B58">
        <v>149</v>
      </c>
      <c r="C58" s="26">
        <f t="shared" si="11"/>
        <v>1.0423224903812521E-2</v>
      </c>
      <c r="E58">
        <v>12</v>
      </c>
      <c r="F58">
        <v>4</v>
      </c>
      <c r="G58">
        <v>7</v>
      </c>
      <c r="H58">
        <f t="shared" si="12"/>
        <v>23</v>
      </c>
      <c r="I58" s="26">
        <f t="shared" si="8"/>
        <v>7.5732630885742506E-3</v>
      </c>
      <c r="K58">
        <v>2</v>
      </c>
      <c r="L58">
        <v>23</v>
      </c>
      <c r="M58">
        <v>21</v>
      </c>
      <c r="N58">
        <f t="shared" si="13"/>
        <v>46</v>
      </c>
      <c r="O58" s="26">
        <f t="shared" si="14"/>
        <v>1.541038525963149E-2</v>
      </c>
      <c r="Q58">
        <v>19</v>
      </c>
      <c r="R58">
        <v>5</v>
      </c>
      <c r="S58">
        <v>10</v>
      </c>
      <c r="T58">
        <f t="shared" si="15"/>
        <v>34</v>
      </c>
      <c r="U58" s="26">
        <f t="shared" si="9"/>
        <v>9.6126661012157187E-3</v>
      </c>
      <c r="V58" s="15"/>
      <c r="W58">
        <v>19</v>
      </c>
      <c r="X58">
        <v>16</v>
      </c>
      <c r="Y58">
        <v>11</v>
      </c>
      <c r="Z58">
        <f t="shared" si="16"/>
        <v>46</v>
      </c>
      <c r="AA58" s="26">
        <f t="shared" si="10"/>
        <v>1.0017421602787456E-2</v>
      </c>
      <c r="AB58" s="15"/>
      <c r="AC58">
        <v>166</v>
      </c>
      <c r="AD58" s="26">
        <f t="shared" si="17"/>
        <v>1.0316325896463861E-2</v>
      </c>
      <c r="AO58" s="36" t="s">
        <v>77</v>
      </c>
      <c r="AP58" s="36">
        <v>1</v>
      </c>
      <c r="AQ58" s="36">
        <v>1</v>
      </c>
      <c r="AR58" s="36">
        <v>2</v>
      </c>
      <c r="AS58" s="36">
        <v>0</v>
      </c>
      <c r="AT58" s="36">
        <v>2</v>
      </c>
    </row>
    <row r="59" spans="1:46" ht="13.5">
      <c r="A59" s="15" t="s">
        <v>65</v>
      </c>
      <c r="B59">
        <v>409</v>
      </c>
      <c r="C59" s="26">
        <f t="shared" si="11"/>
        <v>2.8611402588317594E-2</v>
      </c>
      <c r="E59">
        <v>20</v>
      </c>
      <c r="F59">
        <v>17</v>
      </c>
      <c r="G59">
        <v>27</v>
      </c>
      <c r="H59">
        <f t="shared" si="12"/>
        <v>64</v>
      </c>
      <c r="I59" s="26">
        <f t="shared" si="8"/>
        <v>2.1073427724728349E-2</v>
      </c>
      <c r="K59">
        <v>14</v>
      </c>
      <c r="L59">
        <v>25</v>
      </c>
      <c r="M59">
        <v>35</v>
      </c>
      <c r="N59">
        <f t="shared" si="13"/>
        <v>74</v>
      </c>
      <c r="O59" s="26">
        <f t="shared" si="14"/>
        <v>2.4790619765494137E-2</v>
      </c>
      <c r="Q59">
        <v>45</v>
      </c>
      <c r="R59">
        <v>40</v>
      </c>
      <c r="S59">
        <v>54</v>
      </c>
      <c r="T59">
        <f t="shared" si="15"/>
        <v>139</v>
      </c>
      <c r="U59" s="26">
        <f t="shared" si="9"/>
        <v>3.929884082555838E-2</v>
      </c>
      <c r="V59" s="15"/>
      <c r="W59">
        <v>36</v>
      </c>
      <c r="X59">
        <v>30</v>
      </c>
      <c r="Y59">
        <v>28</v>
      </c>
      <c r="Z59">
        <f t="shared" si="16"/>
        <v>94</v>
      </c>
      <c r="AA59" s="26">
        <f t="shared" si="10"/>
        <v>2.0470383275261322E-2</v>
      </c>
      <c r="AB59" s="15"/>
      <c r="AC59">
        <v>423</v>
      </c>
      <c r="AD59" s="26">
        <f t="shared" si="17"/>
        <v>2.628798707351936E-2</v>
      </c>
      <c r="AO59" s="36" t="s">
        <v>78</v>
      </c>
      <c r="AP59" s="36">
        <v>6</v>
      </c>
      <c r="AQ59" s="36">
        <v>9</v>
      </c>
      <c r="AR59" s="36">
        <v>14</v>
      </c>
      <c r="AS59" s="36">
        <v>18</v>
      </c>
      <c r="AT59" s="36">
        <v>32</v>
      </c>
    </row>
    <row r="60" spans="1:46" ht="13.5">
      <c r="A60" s="15" t="s">
        <v>66</v>
      </c>
      <c r="B60">
        <v>3181</v>
      </c>
      <c r="C60" s="26">
        <f t="shared" si="11"/>
        <v>0.22252535851696398</v>
      </c>
      <c r="E60">
        <v>204</v>
      </c>
      <c r="F60">
        <v>183</v>
      </c>
      <c r="G60">
        <v>220</v>
      </c>
      <c r="H60">
        <f t="shared" si="12"/>
        <v>607</v>
      </c>
      <c r="I60" s="26">
        <f t="shared" si="8"/>
        <v>0.19986829107672044</v>
      </c>
      <c r="K60">
        <v>115</v>
      </c>
      <c r="L60">
        <v>229</v>
      </c>
      <c r="M60">
        <v>252</v>
      </c>
      <c r="N60">
        <f t="shared" si="13"/>
        <v>596</v>
      </c>
      <c r="O60" s="26">
        <f t="shared" si="14"/>
        <v>0.19966499162479062</v>
      </c>
      <c r="Q60">
        <v>262</v>
      </c>
      <c r="R60">
        <v>231</v>
      </c>
      <c r="S60">
        <v>286</v>
      </c>
      <c r="T60">
        <f t="shared" si="15"/>
        <v>779</v>
      </c>
      <c r="U60" s="26">
        <f t="shared" si="9"/>
        <v>0.22024314390726604</v>
      </c>
      <c r="V60" s="15"/>
      <c r="W60">
        <v>266</v>
      </c>
      <c r="X60">
        <v>337</v>
      </c>
      <c r="Y60">
        <v>558</v>
      </c>
      <c r="Z60">
        <f t="shared" si="16"/>
        <v>1161</v>
      </c>
      <c r="AA60" s="26">
        <f t="shared" si="10"/>
        <v>0.25283101045296169</v>
      </c>
      <c r="AB60" s="15"/>
      <c r="AC60">
        <v>3542</v>
      </c>
      <c r="AD60" s="26">
        <f t="shared" si="17"/>
        <v>0.22012305015225903</v>
      </c>
      <c r="AO60" s="36" t="s">
        <v>79</v>
      </c>
      <c r="AP60" s="36">
        <v>13</v>
      </c>
      <c r="AQ60" s="36">
        <v>24</v>
      </c>
      <c r="AR60" s="36">
        <v>29</v>
      </c>
      <c r="AS60" s="36">
        <v>6</v>
      </c>
      <c r="AT60" s="36">
        <v>35</v>
      </c>
    </row>
    <row r="61" spans="1:46">
      <c r="A61" s="15" t="s">
        <v>67</v>
      </c>
      <c r="B61">
        <v>1167</v>
      </c>
      <c r="C61" s="26">
        <f t="shared" si="11"/>
        <v>8.1636935991605458E-2</v>
      </c>
      <c r="E61">
        <v>87</v>
      </c>
      <c r="F61">
        <v>96</v>
      </c>
      <c r="G61">
        <v>70</v>
      </c>
      <c r="H61">
        <f t="shared" si="12"/>
        <v>253</v>
      </c>
      <c r="I61" s="26">
        <f t="shared" si="8"/>
        <v>8.3305893974316758E-2</v>
      </c>
      <c r="K61">
        <v>47</v>
      </c>
      <c r="L61">
        <v>71</v>
      </c>
      <c r="M61">
        <v>99</v>
      </c>
      <c r="N61">
        <f t="shared" si="13"/>
        <v>217</v>
      </c>
      <c r="O61" s="26">
        <f t="shared" si="14"/>
        <v>7.2696817420435517E-2</v>
      </c>
      <c r="Q61">
        <v>94</v>
      </c>
      <c r="R61">
        <v>67</v>
      </c>
      <c r="S61">
        <v>88</v>
      </c>
      <c r="T61">
        <f t="shared" si="15"/>
        <v>249</v>
      </c>
      <c r="U61" s="26">
        <f t="shared" si="9"/>
        <v>7.0398642917726892E-2</v>
      </c>
      <c r="V61" s="15"/>
      <c r="W61">
        <v>113</v>
      </c>
      <c r="X61">
        <v>121</v>
      </c>
      <c r="Y61">
        <v>202</v>
      </c>
      <c r="Z61">
        <f t="shared" si="16"/>
        <v>436</v>
      </c>
      <c r="AA61" s="26">
        <f t="shared" si="10"/>
        <v>9.4947735191637628E-2</v>
      </c>
      <c r="AB61" s="15"/>
      <c r="AC61">
        <v>1356</v>
      </c>
      <c r="AD61" s="26">
        <f t="shared" si="17"/>
        <v>8.4270710334969856E-2</v>
      </c>
      <c r="AO61" s="36" t="s">
        <v>80</v>
      </c>
      <c r="AP61" s="36">
        <v>22</v>
      </c>
      <c r="AQ61" s="36">
        <v>22</v>
      </c>
      <c r="AR61" s="36">
        <v>28</v>
      </c>
      <c r="AS61" s="36">
        <v>19</v>
      </c>
      <c r="AT61" s="36">
        <v>47</v>
      </c>
    </row>
    <row r="62" spans="1:46">
      <c r="A62" s="15" t="s">
        <v>68</v>
      </c>
      <c r="B62">
        <v>27</v>
      </c>
      <c r="C62" s="26">
        <f t="shared" si="11"/>
        <v>1.888772298006296E-3</v>
      </c>
      <c r="E62">
        <v>1</v>
      </c>
      <c r="H62">
        <f t="shared" si="12"/>
        <v>1</v>
      </c>
      <c r="I62" s="26">
        <f t="shared" si="8"/>
        <v>3.2927230819888045E-4</v>
      </c>
      <c r="L62">
        <v>2</v>
      </c>
      <c r="M62">
        <v>8</v>
      </c>
      <c r="N62">
        <f t="shared" si="13"/>
        <v>10</v>
      </c>
      <c r="O62" s="26">
        <f t="shared" si="14"/>
        <v>3.3500837520938024E-3</v>
      </c>
      <c r="Q62">
        <v>3</v>
      </c>
      <c r="R62">
        <v>1</v>
      </c>
      <c r="T62">
        <f t="shared" si="15"/>
        <v>4</v>
      </c>
      <c r="U62" s="26">
        <f t="shared" si="9"/>
        <v>1.1309018942606728E-3</v>
      </c>
      <c r="V62" s="15"/>
      <c r="W62">
        <v>9</v>
      </c>
      <c r="X62">
        <v>0</v>
      </c>
      <c r="Y62">
        <v>3</v>
      </c>
      <c r="Z62">
        <f t="shared" si="16"/>
        <v>12</v>
      </c>
      <c r="AA62" s="26">
        <f t="shared" si="10"/>
        <v>2.6132404181184671E-3</v>
      </c>
      <c r="AB62" s="15"/>
      <c r="AC62">
        <v>29</v>
      </c>
      <c r="AD62" s="26">
        <f t="shared" si="17"/>
        <v>1.8022497048039276E-3</v>
      </c>
    </row>
    <row r="63" spans="1:46">
      <c r="A63" s="15" t="s">
        <v>69</v>
      </c>
      <c r="B63">
        <v>345</v>
      </c>
      <c r="C63" s="26">
        <f t="shared" si="11"/>
        <v>2.4134312696747113E-2</v>
      </c>
      <c r="E63">
        <v>16</v>
      </c>
      <c r="F63">
        <v>25</v>
      </c>
      <c r="G63">
        <v>33</v>
      </c>
      <c r="H63">
        <f t="shared" si="12"/>
        <v>74</v>
      </c>
      <c r="I63" s="26">
        <f t="shared" si="8"/>
        <v>2.4366150806717154E-2</v>
      </c>
      <c r="K63">
        <v>33</v>
      </c>
      <c r="L63">
        <v>45</v>
      </c>
      <c r="M63">
        <v>15</v>
      </c>
      <c r="N63">
        <f t="shared" si="13"/>
        <v>93</v>
      </c>
      <c r="O63" s="26">
        <f t="shared" si="14"/>
        <v>3.1155778894472363E-2</v>
      </c>
      <c r="Q63">
        <v>25</v>
      </c>
      <c r="R63">
        <v>22</v>
      </c>
      <c r="S63">
        <v>31</v>
      </c>
      <c r="T63">
        <f t="shared" si="15"/>
        <v>78</v>
      </c>
      <c r="U63" s="26">
        <f t="shared" si="9"/>
        <v>2.2052586938083121E-2</v>
      </c>
      <c r="V63" s="15"/>
      <c r="W63">
        <v>15</v>
      </c>
      <c r="X63">
        <v>38</v>
      </c>
      <c r="Y63">
        <v>42</v>
      </c>
      <c r="Z63">
        <f t="shared" si="16"/>
        <v>95</v>
      </c>
      <c r="AA63" s="26">
        <f t="shared" si="10"/>
        <v>2.068815331010453E-2</v>
      </c>
      <c r="AB63" s="15"/>
      <c r="AC63">
        <v>379</v>
      </c>
      <c r="AD63" s="26">
        <f t="shared" si="17"/>
        <v>2.3553539245540985E-2</v>
      </c>
      <c r="AP63">
        <f>SUM(AP52:AP62)</f>
        <v>463</v>
      </c>
      <c r="AQ63">
        <f>SUM(AQ52:AQ62)</f>
        <v>450</v>
      </c>
      <c r="AR63">
        <f>SUM(AR52:AR62)</f>
        <v>587</v>
      </c>
      <c r="AS63">
        <f>SUM(AS52:AS62)</f>
        <v>292</v>
      </c>
      <c r="AT63">
        <f>SUM(AT52:AT62)</f>
        <v>879</v>
      </c>
    </row>
    <row r="64" spans="1:46">
      <c r="A64" s="15" t="s">
        <v>70</v>
      </c>
      <c r="B64">
        <v>467</v>
      </c>
      <c r="C64" s="26">
        <f t="shared" si="11"/>
        <v>3.2668765302553339E-2</v>
      </c>
      <c r="E64">
        <v>41</v>
      </c>
      <c r="F64">
        <v>36</v>
      </c>
      <c r="G64">
        <v>42</v>
      </c>
      <c r="H64">
        <f t="shared" si="12"/>
        <v>119</v>
      </c>
      <c r="I64" s="26">
        <f t="shared" si="8"/>
        <v>3.9183404675666778E-2</v>
      </c>
      <c r="K64">
        <v>25</v>
      </c>
      <c r="L64">
        <v>46</v>
      </c>
      <c r="M64">
        <v>27</v>
      </c>
      <c r="N64">
        <f>SUM(K64:M64)</f>
        <v>98</v>
      </c>
      <c r="O64" s="26">
        <f t="shared" si="14"/>
        <v>3.2830820770519263E-2</v>
      </c>
      <c r="Q64">
        <v>34</v>
      </c>
      <c r="R64">
        <v>30</v>
      </c>
      <c r="S64">
        <v>37</v>
      </c>
      <c r="T64">
        <f>SUM(Q64:S64)</f>
        <v>101</v>
      </c>
      <c r="U64" s="26">
        <f t="shared" si="9"/>
        <v>2.8555272830081989E-2</v>
      </c>
      <c r="V64" s="15"/>
      <c r="W64">
        <v>18</v>
      </c>
      <c r="X64">
        <v>52</v>
      </c>
      <c r="Y64">
        <v>76</v>
      </c>
      <c r="Z64">
        <f>SUM(W64:Y64)</f>
        <v>146</v>
      </c>
      <c r="AA64" s="26">
        <f t="shared" si="10"/>
        <v>3.1794425087108016E-2</v>
      </c>
      <c r="AB64" s="15"/>
      <c r="AC64">
        <v>576</v>
      </c>
      <c r="AD64" s="26">
        <f t="shared" si="17"/>
        <v>3.5796407929898702E-2</v>
      </c>
    </row>
    <row r="65" spans="1:30">
      <c r="B65">
        <f>SUM(B53:B64)</f>
        <v>14295</v>
      </c>
      <c r="C65" s="26">
        <f>SUM(C53:C64)</f>
        <v>1.0000000000000002</v>
      </c>
      <c r="D65" s="26">
        <f>SUM(C53:C64)</f>
        <v>1.0000000000000002</v>
      </c>
      <c r="E65">
        <f>SUM(E53:E64)</f>
        <v>1003</v>
      </c>
      <c r="F65">
        <f>SUM(F53:F64)</f>
        <v>972</v>
      </c>
      <c r="G65">
        <f>SUM(G53:G64)</f>
        <v>1062</v>
      </c>
      <c r="H65">
        <f>SUM(H53:H64)</f>
        <v>3037</v>
      </c>
      <c r="I65" s="26">
        <f>SUM(I53:I64)</f>
        <v>1</v>
      </c>
      <c r="K65">
        <f>SUM(K53:K64)</f>
        <v>719</v>
      </c>
      <c r="L65">
        <f>SUM(L53:L64)</f>
        <v>1069</v>
      </c>
      <c r="M65">
        <f>SUM(M53:M64)</f>
        <v>1197</v>
      </c>
      <c r="N65">
        <f>SUM(N53:N64)</f>
        <v>2985</v>
      </c>
      <c r="O65" s="26">
        <f>SUM(O53:O64)</f>
        <v>0.99999999999999989</v>
      </c>
      <c r="Q65">
        <f>SUM(Q53:Q64)</f>
        <v>1191</v>
      </c>
      <c r="R65">
        <f>SUM(R53:R64)</f>
        <v>1028</v>
      </c>
      <c r="S65">
        <f>SUM(S53:S64)</f>
        <v>1318</v>
      </c>
      <c r="T65">
        <f>SUM(T53:T64)</f>
        <v>3537</v>
      </c>
      <c r="U65" s="26">
        <f>SUM(U53:U64)</f>
        <v>0.99999999999999989</v>
      </c>
      <c r="W65">
        <f>SUM(W53:W64)</f>
        <v>1204</v>
      </c>
      <c r="X65">
        <f>SUM(X53:X64)</f>
        <v>1383</v>
      </c>
      <c r="Y65">
        <f>SUM(Y53:Y64)</f>
        <v>2005</v>
      </c>
      <c r="Z65">
        <f>SUM(Z53:Z64)</f>
        <v>4592</v>
      </c>
      <c r="AA65" s="26">
        <f>SUM(AA53:AA64)</f>
        <v>1</v>
      </c>
      <c r="AC65">
        <v>16091</v>
      </c>
      <c r="AD65" s="26">
        <f>SUM(AD53:AD64)</f>
        <v>0.99999999999999978</v>
      </c>
    </row>
    <row r="66" spans="1:30">
      <c r="C66" s="26"/>
      <c r="D66" s="26"/>
      <c r="I66" s="26"/>
      <c r="O66" s="26"/>
      <c r="U66" s="26"/>
      <c r="AA66" s="26"/>
      <c r="AD66" s="26"/>
    </row>
    <row r="68" spans="1:30">
      <c r="A68" s="28">
        <v>2016</v>
      </c>
      <c r="B68" s="102" t="s">
        <v>81</v>
      </c>
      <c r="C68" s="102"/>
      <c r="D68" s="29"/>
      <c r="E68" s="1">
        <v>42370</v>
      </c>
      <c r="F68" s="1">
        <v>42401</v>
      </c>
      <c r="G68" s="1">
        <v>42430</v>
      </c>
      <c r="H68" s="102" t="s">
        <v>82</v>
      </c>
      <c r="I68" s="102"/>
      <c r="K68" s="1">
        <v>42461</v>
      </c>
      <c r="L68" s="1">
        <v>42491</v>
      </c>
      <c r="M68" s="1">
        <v>42522</v>
      </c>
      <c r="N68" s="102" t="s">
        <v>83</v>
      </c>
      <c r="O68" s="102"/>
      <c r="Q68" s="1">
        <v>42552</v>
      </c>
      <c r="R68" s="1">
        <v>42583</v>
      </c>
      <c r="S68" s="1">
        <v>42614</v>
      </c>
      <c r="T68" s="102" t="s">
        <v>84</v>
      </c>
      <c r="U68" s="102"/>
      <c r="W68" s="1">
        <v>42644</v>
      </c>
      <c r="X68" s="1">
        <v>42675</v>
      </c>
      <c r="Y68" s="1">
        <v>42705</v>
      </c>
      <c r="Z68" s="102" t="s">
        <v>85</v>
      </c>
      <c r="AA68" s="102"/>
      <c r="AC68" s="102" t="s">
        <v>88</v>
      </c>
      <c r="AD68" s="102"/>
    </row>
    <row r="70" spans="1:30">
      <c r="A70" t="s">
        <v>59</v>
      </c>
      <c r="B70">
        <f>H70+N70+T70+Z70</f>
        <v>3938</v>
      </c>
      <c r="C70" s="26">
        <f>B70/B$83</f>
        <v>0.23999024925345847</v>
      </c>
      <c r="E70">
        <v>364</v>
      </c>
      <c r="F70">
        <v>369</v>
      </c>
      <c r="G70">
        <v>347</v>
      </c>
      <c r="H70">
        <v>1080</v>
      </c>
      <c r="I70" s="26">
        <f>H70/$H$83</f>
        <v>0.2215839146491588</v>
      </c>
      <c r="K70">
        <v>236</v>
      </c>
      <c r="L70">
        <v>294</v>
      </c>
      <c r="M70">
        <v>307</v>
      </c>
      <c r="N70">
        <v>837</v>
      </c>
      <c r="O70" s="26">
        <f>N70/$N$83</f>
        <v>0.25256487628243812</v>
      </c>
      <c r="Q70">
        <v>284</v>
      </c>
      <c r="R70">
        <v>232</v>
      </c>
      <c r="S70">
        <v>327</v>
      </c>
      <c r="T70">
        <f>SUM(Q70:S70)</f>
        <v>843</v>
      </c>
      <c r="U70" s="26">
        <f>T70/$T$83</f>
        <v>0.24065087068227234</v>
      </c>
      <c r="W70">
        <v>304</v>
      </c>
      <c r="X70">
        <v>413</v>
      </c>
      <c r="Y70">
        <v>461</v>
      </c>
      <c r="Z70">
        <f>SUM(W70:Y70)</f>
        <v>1178</v>
      </c>
      <c r="AA70" s="26">
        <f>Z70/$Z$83</f>
        <v>0.24968206867316659</v>
      </c>
      <c r="AC70">
        <f>Z70+T70+N70+H70</f>
        <v>3938</v>
      </c>
      <c r="AD70" s="26">
        <f t="shared" ref="AD70:AD81" si="18">AC70/$AC$82</f>
        <v>0.24347718560652901</v>
      </c>
    </row>
    <row r="71" spans="1:30">
      <c r="A71" t="s">
        <v>60</v>
      </c>
      <c r="B71">
        <f t="shared" ref="B71:B81" si="19">H71+N71+T71+Z71</f>
        <v>4932</v>
      </c>
      <c r="C71" s="26">
        <f t="shared" ref="C71:C83" si="20">B71/B$83</f>
        <v>0.30056676214272654</v>
      </c>
      <c r="E71">
        <v>517</v>
      </c>
      <c r="F71">
        <v>504</v>
      </c>
      <c r="G71">
        <v>529</v>
      </c>
      <c r="H71">
        <v>1550</v>
      </c>
      <c r="I71" s="26">
        <f t="shared" ref="I71:I82" si="21">H71/$H$83</f>
        <v>0.31801395157981122</v>
      </c>
      <c r="K71">
        <v>268</v>
      </c>
      <c r="L71">
        <v>364</v>
      </c>
      <c r="M71">
        <v>300</v>
      </c>
      <c r="N71">
        <v>932</v>
      </c>
      <c r="O71" s="26">
        <f t="shared" ref="O71:O82" si="22">N71/$N$83</f>
        <v>0.28123114061557031</v>
      </c>
      <c r="Q71">
        <v>328</v>
      </c>
      <c r="R71">
        <v>352</v>
      </c>
      <c r="S71">
        <v>446</v>
      </c>
      <c r="T71">
        <f t="shared" ref="T71:T81" si="23">SUM(Q71:S71)</f>
        <v>1126</v>
      </c>
      <c r="U71" s="26">
        <f t="shared" ref="U71:U82" si="24">T71/$T$83</f>
        <v>0.32143876677133887</v>
      </c>
      <c r="W71">
        <v>380</v>
      </c>
      <c r="X71">
        <v>554</v>
      </c>
      <c r="Y71">
        <v>390</v>
      </c>
      <c r="Z71">
        <f t="shared" ref="Z71:Z81" si="25">SUM(W71:Y71)</f>
        <v>1324</v>
      </c>
      <c r="AA71" s="26">
        <f t="shared" ref="AA71:AA82" si="26">Z71/$Z$83</f>
        <v>0.28062738448495123</v>
      </c>
      <c r="AC71">
        <f t="shared" ref="AC71:AC81" si="27">Z71+T71+N71+H71</f>
        <v>4932</v>
      </c>
      <c r="AD71" s="26">
        <f t="shared" si="18"/>
        <v>0.30493384444169658</v>
      </c>
    </row>
    <row r="72" spans="1:30">
      <c r="A72" t="s">
        <v>61</v>
      </c>
      <c r="B72">
        <f t="shared" si="19"/>
        <v>63</v>
      </c>
      <c r="C72" s="26">
        <f t="shared" si="20"/>
        <v>3.8393564507282589E-3</v>
      </c>
      <c r="E72">
        <v>4</v>
      </c>
      <c r="F72">
        <v>0</v>
      </c>
      <c r="G72">
        <v>1</v>
      </c>
      <c r="H72">
        <v>5</v>
      </c>
      <c r="I72" s="26">
        <f t="shared" si="21"/>
        <v>1.0258514567090685E-3</v>
      </c>
      <c r="K72">
        <v>0</v>
      </c>
      <c r="L72">
        <v>0</v>
      </c>
      <c r="M72">
        <v>0</v>
      </c>
      <c r="N72">
        <v>0</v>
      </c>
      <c r="O72" s="26">
        <f t="shared" si="22"/>
        <v>0</v>
      </c>
      <c r="Q72">
        <v>18</v>
      </c>
      <c r="R72">
        <v>35</v>
      </c>
      <c r="S72">
        <v>0</v>
      </c>
      <c r="T72">
        <f t="shared" si="23"/>
        <v>53</v>
      </c>
      <c r="U72" s="26">
        <f t="shared" si="24"/>
        <v>1.512988866685698E-2</v>
      </c>
      <c r="W72">
        <v>0</v>
      </c>
      <c r="X72">
        <v>0</v>
      </c>
      <c r="Y72">
        <v>5</v>
      </c>
      <c r="Z72">
        <f t="shared" si="25"/>
        <v>5</v>
      </c>
      <c r="AA72" s="26">
        <f t="shared" si="26"/>
        <v>1.0597710894446799E-3</v>
      </c>
      <c r="AC72">
        <f t="shared" si="27"/>
        <v>63</v>
      </c>
      <c r="AD72" s="26">
        <f t="shared" si="18"/>
        <v>3.8951403487078027E-3</v>
      </c>
    </row>
    <row r="73" spans="1:30">
      <c r="A73" t="s">
        <v>62</v>
      </c>
      <c r="B73">
        <f t="shared" si="19"/>
        <v>1049</v>
      </c>
      <c r="C73" s="26">
        <f t="shared" si="20"/>
        <v>6.3928332012919739E-2</v>
      </c>
      <c r="E73">
        <v>119</v>
      </c>
      <c r="F73">
        <v>82</v>
      </c>
      <c r="G73">
        <v>87</v>
      </c>
      <c r="H73">
        <v>288</v>
      </c>
      <c r="I73" s="26">
        <f t="shared" si="21"/>
        <v>5.9089043906442346E-2</v>
      </c>
      <c r="K73">
        <v>43</v>
      </c>
      <c r="L73">
        <v>101</v>
      </c>
      <c r="M73">
        <v>97</v>
      </c>
      <c r="N73">
        <v>241</v>
      </c>
      <c r="O73" s="26">
        <f t="shared" si="22"/>
        <v>7.2721786360893187E-2</v>
      </c>
      <c r="Q73">
        <v>72</v>
      </c>
      <c r="R73">
        <v>42</v>
      </c>
      <c r="S73">
        <v>84</v>
      </c>
      <c r="T73">
        <f t="shared" si="23"/>
        <v>198</v>
      </c>
      <c r="U73" s="26">
        <f t="shared" si="24"/>
        <v>5.6522980302597774E-2</v>
      </c>
      <c r="W73">
        <v>77</v>
      </c>
      <c r="X73">
        <v>113</v>
      </c>
      <c r="Y73">
        <v>132</v>
      </c>
      <c r="Z73">
        <f t="shared" si="25"/>
        <v>322</v>
      </c>
      <c r="AA73" s="26">
        <f t="shared" si="26"/>
        <v>6.8249258160237386E-2</v>
      </c>
      <c r="AC73">
        <f t="shared" si="27"/>
        <v>1049</v>
      </c>
      <c r="AD73" s="26">
        <f t="shared" si="18"/>
        <v>6.4857178187214051E-2</v>
      </c>
    </row>
    <row r="74" spans="1:30">
      <c r="A74" t="s">
        <v>63</v>
      </c>
      <c r="B74">
        <f t="shared" si="19"/>
        <v>193</v>
      </c>
      <c r="C74" s="26">
        <f t="shared" si="20"/>
        <v>1.1761838015723079E-2</v>
      </c>
      <c r="E74">
        <v>13</v>
      </c>
      <c r="F74">
        <v>17</v>
      </c>
      <c r="G74">
        <v>26</v>
      </c>
      <c r="H74">
        <v>56</v>
      </c>
      <c r="I74" s="26">
        <f t="shared" si="21"/>
        <v>1.1489536315141567E-2</v>
      </c>
      <c r="K74">
        <v>6</v>
      </c>
      <c r="L74">
        <v>8</v>
      </c>
      <c r="M74">
        <v>21</v>
      </c>
      <c r="N74">
        <v>35</v>
      </c>
      <c r="O74" s="26">
        <f t="shared" si="22"/>
        <v>1.0561255280627639E-2</v>
      </c>
      <c r="Q74">
        <v>31</v>
      </c>
      <c r="R74">
        <v>3</v>
      </c>
      <c r="S74">
        <v>14</v>
      </c>
      <c r="T74">
        <f t="shared" si="23"/>
        <v>48</v>
      </c>
      <c r="U74" s="26">
        <f t="shared" si="24"/>
        <v>1.3702540679417643E-2</v>
      </c>
      <c r="W74">
        <v>21</v>
      </c>
      <c r="X74">
        <v>14</v>
      </c>
      <c r="Y74">
        <v>19</v>
      </c>
      <c r="Z74">
        <f t="shared" si="25"/>
        <v>54</v>
      </c>
      <c r="AA74" s="26">
        <f t="shared" si="26"/>
        <v>1.1445527766002543E-2</v>
      </c>
      <c r="AC74">
        <f t="shared" si="27"/>
        <v>193</v>
      </c>
      <c r="AD74" s="26">
        <f t="shared" si="18"/>
        <v>1.1932731544454062E-2</v>
      </c>
    </row>
    <row r="75" spans="1:30">
      <c r="A75" t="s">
        <v>64</v>
      </c>
      <c r="B75">
        <f t="shared" si="19"/>
        <v>209</v>
      </c>
      <c r="C75" s="26">
        <f t="shared" si="20"/>
        <v>1.2736912669876288E-2</v>
      </c>
      <c r="E75">
        <v>11</v>
      </c>
      <c r="F75">
        <v>12</v>
      </c>
      <c r="G75">
        <v>18</v>
      </c>
      <c r="H75">
        <v>41</v>
      </c>
      <c r="I75" s="26">
        <f t="shared" si="21"/>
        <v>8.4119819450143626E-3</v>
      </c>
      <c r="K75">
        <v>10</v>
      </c>
      <c r="L75">
        <v>23</v>
      </c>
      <c r="M75">
        <v>19</v>
      </c>
      <c r="N75">
        <v>52</v>
      </c>
      <c r="O75" s="26">
        <f t="shared" si="22"/>
        <v>1.5691007845503924E-2</v>
      </c>
      <c r="Q75">
        <v>20</v>
      </c>
      <c r="R75">
        <v>23</v>
      </c>
      <c r="S75">
        <v>20</v>
      </c>
      <c r="T75">
        <f t="shared" si="23"/>
        <v>63</v>
      </c>
      <c r="U75" s="26">
        <f t="shared" si="24"/>
        <v>1.7984584641735656E-2</v>
      </c>
      <c r="W75">
        <v>29</v>
      </c>
      <c r="X75">
        <v>15</v>
      </c>
      <c r="Y75">
        <v>9</v>
      </c>
      <c r="Z75">
        <f t="shared" si="25"/>
        <v>53</v>
      </c>
      <c r="AA75" s="26">
        <f t="shared" si="26"/>
        <v>1.1233573548113607E-2</v>
      </c>
      <c r="AC75">
        <f t="shared" si="27"/>
        <v>209</v>
      </c>
      <c r="AD75" s="26">
        <f t="shared" si="18"/>
        <v>1.2921973537776679E-2</v>
      </c>
    </row>
    <row r="76" spans="1:30">
      <c r="A76" t="s">
        <v>65</v>
      </c>
      <c r="B76">
        <f t="shared" si="19"/>
        <v>380</v>
      </c>
      <c r="C76" s="26">
        <f t="shared" si="20"/>
        <v>2.3158023036138703E-2</v>
      </c>
      <c r="E76">
        <v>19</v>
      </c>
      <c r="F76">
        <v>36</v>
      </c>
      <c r="G76">
        <v>36</v>
      </c>
      <c r="H76">
        <v>91</v>
      </c>
      <c r="I76" s="26">
        <f t="shared" si="21"/>
        <v>1.8670496512105048E-2</v>
      </c>
      <c r="K76">
        <v>28</v>
      </c>
      <c r="L76">
        <v>19</v>
      </c>
      <c r="M76">
        <v>53</v>
      </c>
      <c r="N76">
        <v>100</v>
      </c>
      <c r="O76" s="26">
        <f t="shared" si="22"/>
        <v>3.0175015087507542E-2</v>
      </c>
      <c r="Q76">
        <v>30</v>
      </c>
      <c r="R76">
        <v>44</v>
      </c>
      <c r="S76">
        <v>26</v>
      </c>
      <c r="T76">
        <f t="shared" si="23"/>
        <v>100</v>
      </c>
      <c r="U76" s="26">
        <f t="shared" si="24"/>
        <v>2.8546959748786755E-2</v>
      </c>
      <c r="W76">
        <v>50</v>
      </c>
      <c r="X76">
        <v>32</v>
      </c>
      <c r="Y76">
        <v>7</v>
      </c>
      <c r="Z76">
        <f t="shared" si="25"/>
        <v>89</v>
      </c>
      <c r="AA76" s="26">
        <f t="shared" si="26"/>
        <v>1.8863925392115302E-2</v>
      </c>
      <c r="AC76">
        <f t="shared" si="27"/>
        <v>380</v>
      </c>
      <c r="AD76" s="26">
        <f t="shared" si="18"/>
        <v>2.3494497341412141E-2</v>
      </c>
    </row>
    <row r="77" spans="1:30">
      <c r="A77" t="s">
        <v>66</v>
      </c>
      <c r="B77">
        <f t="shared" si="19"/>
        <v>3683</v>
      </c>
      <c r="C77" s="26">
        <f t="shared" si="20"/>
        <v>0.22444999695289169</v>
      </c>
      <c r="E77">
        <v>403</v>
      </c>
      <c r="F77">
        <v>290</v>
      </c>
      <c r="G77">
        <v>284</v>
      </c>
      <c r="H77">
        <v>977</v>
      </c>
      <c r="I77" s="26">
        <f t="shared" si="21"/>
        <v>0.200451374640952</v>
      </c>
      <c r="K77">
        <v>247</v>
      </c>
      <c r="L77">
        <v>301</v>
      </c>
      <c r="M77">
        <v>202</v>
      </c>
      <c r="N77">
        <v>750</v>
      </c>
      <c r="O77" s="26">
        <f t="shared" si="22"/>
        <v>0.22631261315630657</v>
      </c>
      <c r="Q77">
        <v>193</v>
      </c>
      <c r="R77">
        <v>256</v>
      </c>
      <c r="S77">
        <v>279</v>
      </c>
      <c r="T77">
        <f t="shared" si="23"/>
        <v>728</v>
      </c>
      <c r="U77" s="26">
        <f t="shared" si="24"/>
        <v>0.20782186697116756</v>
      </c>
      <c r="W77">
        <v>269</v>
      </c>
      <c r="X77">
        <v>437</v>
      </c>
      <c r="Y77">
        <v>522</v>
      </c>
      <c r="Z77">
        <f t="shared" si="25"/>
        <v>1228</v>
      </c>
      <c r="AA77" s="26">
        <f t="shared" si="26"/>
        <v>0.26027977956761339</v>
      </c>
      <c r="AC77">
        <f t="shared" si="27"/>
        <v>3683</v>
      </c>
      <c r="AD77" s="26">
        <f t="shared" si="18"/>
        <v>0.22771114133794979</v>
      </c>
    </row>
    <row r="78" spans="1:30">
      <c r="A78" t="s">
        <v>89</v>
      </c>
      <c r="B78">
        <f t="shared" si="19"/>
        <v>14</v>
      </c>
      <c r="C78" s="26">
        <f t="shared" si="20"/>
        <v>8.5319032238405758E-4</v>
      </c>
      <c r="H78">
        <v>0</v>
      </c>
      <c r="I78" s="26">
        <f t="shared" si="21"/>
        <v>0</v>
      </c>
      <c r="M78">
        <v>1</v>
      </c>
      <c r="N78">
        <v>1</v>
      </c>
      <c r="O78" s="26">
        <f t="shared" si="22"/>
        <v>3.0175015087507544E-4</v>
      </c>
      <c r="Q78">
        <v>3</v>
      </c>
      <c r="R78">
        <v>1</v>
      </c>
      <c r="S78">
        <v>2</v>
      </c>
      <c r="T78">
        <f t="shared" si="23"/>
        <v>6</v>
      </c>
      <c r="U78" s="26">
        <f t="shared" si="24"/>
        <v>1.7128175849272054E-3</v>
      </c>
      <c r="W78">
        <v>2</v>
      </c>
      <c r="X78">
        <v>5</v>
      </c>
      <c r="Y78">
        <v>0</v>
      </c>
      <c r="Z78">
        <f t="shared" si="25"/>
        <v>7</v>
      </c>
      <c r="AA78" s="26">
        <f t="shared" si="26"/>
        <v>1.483679525222552E-3</v>
      </c>
      <c r="AC78">
        <f t="shared" si="27"/>
        <v>14</v>
      </c>
      <c r="AD78" s="26">
        <f t="shared" si="18"/>
        <v>8.655867441572895E-4</v>
      </c>
    </row>
    <row r="79" spans="1:30">
      <c r="A79" t="s">
        <v>67</v>
      </c>
      <c r="B79">
        <f t="shared" si="19"/>
        <v>1352</v>
      </c>
      <c r="C79" s="26">
        <f t="shared" si="20"/>
        <v>8.2393808275946126E-2</v>
      </c>
      <c r="E79">
        <v>159</v>
      </c>
      <c r="F79">
        <v>131</v>
      </c>
      <c r="G79">
        <v>154</v>
      </c>
      <c r="H79">
        <v>444</v>
      </c>
      <c r="I79" s="26">
        <f t="shared" si="21"/>
        <v>9.1095609355765286E-2</v>
      </c>
      <c r="K79">
        <v>106</v>
      </c>
      <c r="L79">
        <v>105</v>
      </c>
      <c r="M79">
        <v>97</v>
      </c>
      <c r="N79">
        <v>308</v>
      </c>
      <c r="O79" s="26">
        <f t="shared" si="22"/>
        <v>9.2939046469523237E-2</v>
      </c>
      <c r="Q79">
        <v>86</v>
      </c>
      <c r="R79">
        <v>91</v>
      </c>
      <c r="S79">
        <v>89</v>
      </c>
      <c r="T79">
        <f t="shared" si="23"/>
        <v>266</v>
      </c>
      <c r="U79" s="26">
        <f t="shared" si="24"/>
        <v>7.5934912931772763E-2</v>
      </c>
      <c r="W79">
        <v>100</v>
      </c>
      <c r="X79">
        <v>135</v>
      </c>
      <c r="Y79">
        <v>99</v>
      </c>
      <c r="Z79">
        <f t="shared" si="25"/>
        <v>334</v>
      </c>
      <c r="AA79" s="26">
        <f t="shared" si="26"/>
        <v>7.0792708774904622E-2</v>
      </c>
      <c r="AC79">
        <f t="shared" si="27"/>
        <v>1352</v>
      </c>
      <c r="AD79" s="26">
        <f t="shared" si="18"/>
        <v>8.3590948435761092E-2</v>
      </c>
    </row>
    <row r="80" spans="1:30">
      <c r="A80" t="s">
        <v>90</v>
      </c>
      <c r="B80">
        <f t="shared" si="19"/>
        <v>5</v>
      </c>
      <c r="C80" s="26">
        <f t="shared" si="20"/>
        <v>3.0471082942287768E-4</v>
      </c>
      <c r="E80">
        <v>0</v>
      </c>
      <c r="F80">
        <v>0</v>
      </c>
      <c r="G80">
        <v>3</v>
      </c>
      <c r="H80">
        <v>3</v>
      </c>
      <c r="I80" s="26">
        <f t="shared" si="21"/>
        <v>6.155108740254411E-4</v>
      </c>
      <c r="K80">
        <v>0</v>
      </c>
      <c r="L80">
        <v>0</v>
      </c>
      <c r="M80">
        <v>0</v>
      </c>
      <c r="N80">
        <v>0</v>
      </c>
      <c r="O80" s="26">
        <f t="shared" si="22"/>
        <v>0</v>
      </c>
      <c r="Q80">
        <v>0</v>
      </c>
      <c r="R80">
        <v>2</v>
      </c>
      <c r="S80">
        <v>0</v>
      </c>
      <c r="T80">
        <f t="shared" si="23"/>
        <v>2</v>
      </c>
      <c r="U80" s="26">
        <f t="shared" si="24"/>
        <v>5.7093919497573512E-4</v>
      </c>
      <c r="W80">
        <v>0</v>
      </c>
      <c r="X80">
        <v>0</v>
      </c>
      <c r="Y80">
        <v>0</v>
      </c>
      <c r="Z80">
        <f t="shared" si="25"/>
        <v>0</v>
      </c>
      <c r="AA80" s="26">
        <f t="shared" si="26"/>
        <v>0</v>
      </c>
      <c r="AC80">
        <f t="shared" si="27"/>
        <v>5</v>
      </c>
      <c r="AD80" s="26">
        <f t="shared" si="18"/>
        <v>3.0913812291331769E-4</v>
      </c>
    </row>
    <row r="81" spans="1:30">
      <c r="A81" t="s">
        <v>69</v>
      </c>
      <c r="B81">
        <f t="shared" si="19"/>
        <v>356</v>
      </c>
      <c r="C81" s="26">
        <f t="shared" si="20"/>
        <v>2.1695411054908891E-2</v>
      </c>
      <c r="E81">
        <v>35</v>
      </c>
      <c r="F81">
        <v>28</v>
      </c>
      <c r="G81">
        <v>45</v>
      </c>
      <c r="H81">
        <v>108</v>
      </c>
      <c r="I81" s="26">
        <f t="shared" si="21"/>
        <v>2.215839146491588E-2</v>
      </c>
      <c r="K81">
        <v>16</v>
      </c>
      <c r="L81">
        <v>21</v>
      </c>
      <c r="M81">
        <v>17</v>
      </c>
      <c r="N81">
        <v>54</v>
      </c>
      <c r="O81" s="26">
        <f t="shared" si="22"/>
        <v>1.6294508147254073E-2</v>
      </c>
      <c r="Q81">
        <v>29</v>
      </c>
      <c r="R81">
        <v>13</v>
      </c>
      <c r="S81">
        <v>28</v>
      </c>
      <c r="T81">
        <f t="shared" si="23"/>
        <v>70</v>
      </c>
      <c r="U81" s="26">
        <f t="shared" si="24"/>
        <v>1.998287182415073E-2</v>
      </c>
      <c r="W81">
        <v>17</v>
      </c>
      <c r="X81">
        <v>49</v>
      </c>
      <c r="Y81">
        <v>58</v>
      </c>
      <c r="Z81">
        <f t="shared" si="25"/>
        <v>124</v>
      </c>
      <c r="AA81" s="26">
        <f t="shared" si="26"/>
        <v>2.6282323018228061E-2</v>
      </c>
      <c r="AC81">
        <f t="shared" si="27"/>
        <v>356</v>
      </c>
      <c r="AD81" s="26">
        <f t="shared" si="18"/>
        <v>2.2010634351428218E-2</v>
      </c>
    </row>
    <row r="82" spans="1:30">
      <c r="A82" t="s">
        <v>70</v>
      </c>
      <c r="B82">
        <f>H82+N82+T82+Z82</f>
        <v>235</v>
      </c>
      <c r="C82" s="26">
        <f t="shared" si="20"/>
        <v>1.4321408982875251E-2</v>
      </c>
      <c r="E82">
        <v>75</v>
      </c>
      <c r="F82">
        <v>64</v>
      </c>
      <c r="G82">
        <v>92</v>
      </c>
      <c r="H82">
        <v>231</v>
      </c>
      <c r="I82" s="26">
        <f t="shared" si="21"/>
        <v>4.7394337299958969E-2</v>
      </c>
      <c r="K82">
        <v>4</v>
      </c>
      <c r="L82">
        <v>0</v>
      </c>
      <c r="M82">
        <v>0</v>
      </c>
      <c r="N82">
        <v>4</v>
      </c>
      <c r="O82" s="26">
        <f t="shared" si="22"/>
        <v>1.2070006035003018E-3</v>
      </c>
      <c r="Q82">
        <v>0</v>
      </c>
      <c r="R82">
        <v>0</v>
      </c>
      <c r="S82">
        <v>0</v>
      </c>
      <c r="T82">
        <v>0</v>
      </c>
      <c r="U82" s="26">
        <f t="shared" si="24"/>
        <v>0</v>
      </c>
      <c r="W82">
        <v>0</v>
      </c>
      <c r="X82">
        <v>0</v>
      </c>
      <c r="AA82" s="26">
        <f t="shared" si="26"/>
        <v>0</v>
      </c>
      <c r="AC82">
        <f>SUM(AC70:AC81)</f>
        <v>16174</v>
      </c>
      <c r="AD82" s="26">
        <f>SUM(AD70:AD81)</f>
        <v>1</v>
      </c>
    </row>
    <row r="83" spans="1:30">
      <c r="A83" s="13"/>
      <c r="B83">
        <f>H83+N83+T83+Z83</f>
        <v>16409</v>
      </c>
      <c r="C83" s="26">
        <f t="shared" si="20"/>
        <v>1</v>
      </c>
      <c r="D83" s="26">
        <f>SUM(C70:C82)</f>
        <v>1</v>
      </c>
      <c r="H83">
        <f>SUM(H70:H82)</f>
        <v>4874</v>
      </c>
      <c r="I83" s="26">
        <f>SUM(I70:I82)</f>
        <v>1</v>
      </c>
      <c r="N83">
        <f>SUM(N70:N82)</f>
        <v>3314</v>
      </c>
      <c r="O83" s="26">
        <f>SUM(O70:O82)</f>
        <v>1</v>
      </c>
      <c r="T83">
        <f>SUM(T70:T82)</f>
        <v>3503</v>
      </c>
      <c r="U83" s="26">
        <f>SUM(U70:U81)</f>
        <v>1</v>
      </c>
      <c r="Z83">
        <f>SUM(Z70:Z82)</f>
        <v>4718</v>
      </c>
    </row>
    <row r="84" spans="1:30">
      <c r="A84" s="13"/>
      <c r="C84" s="26"/>
      <c r="D84" s="26"/>
      <c r="I84" s="26"/>
      <c r="O84" s="26"/>
      <c r="U84" s="26"/>
    </row>
    <row r="86" spans="1:30">
      <c r="A86" s="28">
        <v>2017</v>
      </c>
      <c r="B86" s="102" t="s">
        <v>81</v>
      </c>
      <c r="C86" s="102"/>
      <c r="D86" s="29"/>
      <c r="E86" s="1">
        <v>42736</v>
      </c>
      <c r="F86" s="1">
        <v>42767</v>
      </c>
      <c r="G86" s="1">
        <v>42795</v>
      </c>
      <c r="H86" s="102" t="s">
        <v>82</v>
      </c>
      <c r="I86" s="102"/>
      <c r="K86" s="1">
        <v>42826</v>
      </c>
      <c r="L86" s="1">
        <v>42856</v>
      </c>
      <c r="M86" s="1">
        <v>42887</v>
      </c>
      <c r="N86" s="102" t="s">
        <v>83</v>
      </c>
      <c r="O86" s="102"/>
      <c r="Q86" s="1">
        <v>42917</v>
      </c>
      <c r="R86" s="1">
        <v>42948</v>
      </c>
      <c r="S86" s="1">
        <v>42979</v>
      </c>
      <c r="T86" s="102" t="s">
        <v>84</v>
      </c>
      <c r="U86" s="102"/>
      <c r="W86" s="1">
        <v>43009</v>
      </c>
      <c r="X86" s="1">
        <v>43040</v>
      </c>
      <c r="Y86" s="1">
        <v>43070</v>
      </c>
      <c r="Z86" s="102" t="s">
        <v>85</v>
      </c>
      <c r="AA86" s="102"/>
      <c r="AC86" s="102" t="s">
        <v>91</v>
      </c>
      <c r="AD86" s="102"/>
    </row>
    <row r="88" spans="1:30">
      <c r="A88" t="s">
        <v>59</v>
      </c>
      <c r="B88">
        <f>H88+N88+T88+Z88</f>
        <v>4832</v>
      </c>
      <c r="C88" s="26">
        <f>B88/B$101</f>
        <v>0.27954874168354066</v>
      </c>
      <c r="E88">
        <v>382</v>
      </c>
      <c r="F88">
        <v>396</v>
      </c>
      <c r="G88">
        <v>539</v>
      </c>
      <c r="H88">
        <f t="shared" ref="H88:H100" si="28">SUM(E88:G88)</f>
        <v>1317</v>
      </c>
      <c r="I88" s="26">
        <f>H88/$H$101</f>
        <v>0.26413959085439231</v>
      </c>
      <c r="K88">
        <v>386</v>
      </c>
      <c r="L88">
        <v>395</v>
      </c>
      <c r="M88">
        <v>367</v>
      </c>
      <c r="N88">
        <f t="shared" ref="N88:N100" si="29">SUM(K88:M88)</f>
        <v>1148</v>
      </c>
      <c r="O88" s="26">
        <f>N88/$N$101</f>
        <v>0.30785733440600699</v>
      </c>
      <c r="Q88">
        <v>367</v>
      </c>
      <c r="R88">
        <v>338</v>
      </c>
      <c r="S88" s="29">
        <v>291</v>
      </c>
      <c r="T88">
        <f t="shared" ref="T88:T100" si="30">SUM(Q88:S88)</f>
        <v>996</v>
      </c>
      <c r="U88" s="26">
        <f>T88/T$101</f>
        <v>0.2724288840262582</v>
      </c>
      <c r="W88" s="29">
        <v>351</v>
      </c>
      <c r="X88" s="29">
        <v>476</v>
      </c>
      <c r="Y88">
        <v>544</v>
      </c>
      <c r="Z88">
        <f t="shared" ref="Z88:Z100" si="31">SUM(W88:Y88)</f>
        <v>1371</v>
      </c>
      <c r="AA88" s="26">
        <f>Z88/$Z$101</f>
        <v>0.27899877899877901</v>
      </c>
      <c r="AC88">
        <f>Z88+T88+N88+H88</f>
        <v>4832</v>
      </c>
      <c r="AD88" s="26">
        <f t="shared" ref="AD88:AD99" si="32">AC88/$AC$100</f>
        <v>0.27954874168354066</v>
      </c>
    </row>
    <row r="89" spans="1:30">
      <c r="A89" t="s">
        <v>60</v>
      </c>
      <c r="B89">
        <f t="shared" ref="B89:B101" si="33">H89+N89+T89+Z89</f>
        <v>4227</v>
      </c>
      <c r="C89" s="26">
        <f t="shared" ref="C89:C100" si="34">B89/B$101</f>
        <v>0.24454729534278277</v>
      </c>
      <c r="E89">
        <v>469</v>
      </c>
      <c r="F89">
        <v>410</v>
      </c>
      <c r="G89">
        <v>424</v>
      </c>
      <c r="H89">
        <f t="shared" si="28"/>
        <v>1303</v>
      </c>
      <c r="I89" s="26">
        <f t="shared" ref="I89:I100" si="35">H89/$H$101</f>
        <v>0.26133172884075412</v>
      </c>
      <c r="K89">
        <v>296</v>
      </c>
      <c r="L89">
        <v>310</v>
      </c>
      <c r="M89">
        <v>328</v>
      </c>
      <c r="N89">
        <f t="shared" si="29"/>
        <v>934</v>
      </c>
      <c r="O89" s="26">
        <f t="shared" ref="O89:O100" si="36">N89/$N$101</f>
        <v>0.25046929471708235</v>
      </c>
      <c r="Q89">
        <v>284</v>
      </c>
      <c r="R89">
        <v>290</v>
      </c>
      <c r="S89" s="29">
        <v>298</v>
      </c>
      <c r="T89">
        <f t="shared" si="30"/>
        <v>872</v>
      </c>
      <c r="U89" s="26">
        <f t="shared" ref="U89:U100" si="37">T89/T$101</f>
        <v>0.23851203501094093</v>
      </c>
      <c r="W89" s="29">
        <v>360</v>
      </c>
      <c r="X89" s="29">
        <v>360</v>
      </c>
      <c r="Y89">
        <v>398</v>
      </c>
      <c r="Z89">
        <f t="shared" si="31"/>
        <v>1118</v>
      </c>
      <c r="AA89" s="26">
        <f t="shared" ref="AA89:AA100" si="38">Z89/$Z$101</f>
        <v>0.2275132275132275</v>
      </c>
      <c r="AC89">
        <f t="shared" ref="AC89:AC99" si="39">Z89+T89+N89+H89</f>
        <v>4227</v>
      </c>
      <c r="AD89" s="26">
        <f t="shared" si="32"/>
        <v>0.24454729534278277</v>
      </c>
    </row>
    <row r="90" spans="1:30">
      <c r="A90" t="s">
        <v>61</v>
      </c>
      <c r="B90">
        <f t="shared" si="33"/>
        <v>39</v>
      </c>
      <c r="C90" s="26">
        <f t="shared" si="34"/>
        <v>2.256291582296789E-3</v>
      </c>
      <c r="E90">
        <v>4</v>
      </c>
      <c r="F90">
        <v>3</v>
      </c>
      <c r="G90">
        <v>6</v>
      </c>
      <c r="H90">
        <f t="shared" si="28"/>
        <v>13</v>
      </c>
      <c r="I90" s="26">
        <f t="shared" si="35"/>
        <v>2.6073004412354591E-3</v>
      </c>
      <c r="K90">
        <v>0</v>
      </c>
      <c r="L90">
        <v>1</v>
      </c>
      <c r="N90">
        <f t="shared" si="29"/>
        <v>1</v>
      </c>
      <c r="O90" s="26">
        <f t="shared" si="36"/>
        <v>2.6816840976133012E-4</v>
      </c>
      <c r="Q90">
        <v>9</v>
      </c>
      <c r="R90">
        <v>8</v>
      </c>
      <c r="S90" s="29">
        <v>5</v>
      </c>
      <c r="T90">
        <f t="shared" si="30"/>
        <v>22</v>
      </c>
      <c r="U90" s="26">
        <f t="shared" si="37"/>
        <v>6.0175054704595188E-3</v>
      </c>
      <c r="W90" s="29">
        <v>0</v>
      </c>
      <c r="X90" s="29">
        <v>1</v>
      </c>
      <c r="Y90">
        <v>2</v>
      </c>
      <c r="Z90">
        <f t="shared" si="31"/>
        <v>3</v>
      </c>
      <c r="AA90" s="26">
        <f t="shared" si="38"/>
        <v>6.105006105006105E-4</v>
      </c>
      <c r="AC90">
        <f t="shared" si="39"/>
        <v>39</v>
      </c>
      <c r="AD90" s="26">
        <f t="shared" si="32"/>
        <v>2.256291582296789E-3</v>
      </c>
    </row>
    <row r="91" spans="1:30">
      <c r="A91" t="s">
        <v>62</v>
      </c>
      <c r="B91">
        <f t="shared" si="33"/>
        <v>1570</v>
      </c>
      <c r="C91" s="26">
        <f t="shared" si="34"/>
        <v>9.0830199595024586E-2</v>
      </c>
      <c r="E91">
        <v>124</v>
      </c>
      <c r="F91">
        <v>125</v>
      </c>
      <c r="G91">
        <v>171</v>
      </c>
      <c r="H91">
        <f t="shared" si="28"/>
        <v>420</v>
      </c>
      <c r="I91" s="26">
        <f t="shared" si="35"/>
        <v>8.4235860409145602E-2</v>
      </c>
      <c r="K91">
        <v>92</v>
      </c>
      <c r="L91">
        <v>117</v>
      </c>
      <c r="M91">
        <v>105</v>
      </c>
      <c r="N91">
        <f t="shared" si="29"/>
        <v>314</v>
      </c>
      <c r="O91" s="26">
        <f t="shared" si="36"/>
        <v>8.4204880665057658E-2</v>
      </c>
      <c r="Q91">
        <v>70</v>
      </c>
      <c r="R91">
        <v>102</v>
      </c>
      <c r="S91" s="29">
        <v>134</v>
      </c>
      <c r="T91">
        <f t="shared" si="30"/>
        <v>306</v>
      </c>
      <c r="U91" s="26">
        <f t="shared" si="37"/>
        <v>8.3698030634573303E-2</v>
      </c>
      <c r="W91" s="29">
        <v>123</v>
      </c>
      <c r="X91" s="29">
        <v>157</v>
      </c>
      <c r="Y91">
        <v>250</v>
      </c>
      <c r="Z91">
        <f t="shared" si="31"/>
        <v>530</v>
      </c>
      <c r="AA91" s="26">
        <f t="shared" si="38"/>
        <v>0.10785510785510785</v>
      </c>
      <c r="AC91">
        <f t="shared" si="39"/>
        <v>1570</v>
      </c>
      <c r="AD91" s="26">
        <f t="shared" si="32"/>
        <v>9.0830199595024586E-2</v>
      </c>
    </row>
    <row r="92" spans="1:30">
      <c r="A92" t="s">
        <v>63</v>
      </c>
      <c r="B92">
        <f t="shared" si="33"/>
        <v>146</v>
      </c>
      <c r="C92" s="26">
        <f t="shared" si="34"/>
        <v>8.4466300260341333E-3</v>
      </c>
      <c r="E92">
        <v>14</v>
      </c>
      <c r="F92">
        <v>21</v>
      </c>
      <c r="G92">
        <v>14</v>
      </c>
      <c r="H92">
        <f t="shared" si="28"/>
        <v>49</v>
      </c>
      <c r="I92" s="26">
        <f t="shared" si="35"/>
        <v>9.8275170477336547E-3</v>
      </c>
      <c r="K92">
        <v>6</v>
      </c>
      <c r="L92">
        <v>0</v>
      </c>
      <c r="M92">
        <v>20</v>
      </c>
      <c r="N92">
        <f t="shared" si="29"/>
        <v>26</v>
      </c>
      <c r="O92" s="26">
        <f t="shared" si="36"/>
        <v>6.9723786537945831E-3</v>
      </c>
      <c r="Q92">
        <v>9</v>
      </c>
      <c r="R92">
        <v>13</v>
      </c>
      <c r="S92" s="29">
        <v>10</v>
      </c>
      <c r="T92">
        <f t="shared" si="30"/>
        <v>32</v>
      </c>
      <c r="U92" s="26">
        <f t="shared" si="37"/>
        <v>8.7527352297592995E-3</v>
      </c>
      <c r="W92" s="29">
        <v>9</v>
      </c>
      <c r="X92" s="29">
        <v>13</v>
      </c>
      <c r="Y92">
        <v>17</v>
      </c>
      <c r="Z92">
        <f t="shared" si="31"/>
        <v>39</v>
      </c>
      <c r="AA92" s="26">
        <f t="shared" si="38"/>
        <v>7.9365079365079361E-3</v>
      </c>
      <c r="AC92">
        <f t="shared" si="39"/>
        <v>146</v>
      </c>
      <c r="AD92" s="26">
        <f t="shared" si="32"/>
        <v>8.4466300260341333E-3</v>
      </c>
    </row>
    <row r="93" spans="1:30">
      <c r="A93" t="s">
        <v>64</v>
      </c>
      <c r="B93">
        <f t="shared" si="33"/>
        <v>249</v>
      </c>
      <c r="C93" s="26">
        <f t="shared" si="34"/>
        <v>1.4405553948510268E-2</v>
      </c>
      <c r="E93">
        <v>15</v>
      </c>
      <c r="F93">
        <v>23</v>
      </c>
      <c r="G93">
        <v>20</v>
      </c>
      <c r="H93">
        <f t="shared" si="28"/>
        <v>58</v>
      </c>
      <c r="I93" s="26">
        <f t="shared" si="35"/>
        <v>1.1632571199358203E-2</v>
      </c>
      <c r="K93">
        <v>20</v>
      </c>
      <c r="L93">
        <v>6</v>
      </c>
      <c r="M93">
        <v>24</v>
      </c>
      <c r="N93">
        <f t="shared" si="29"/>
        <v>50</v>
      </c>
      <c r="O93" s="26">
        <f t="shared" si="36"/>
        <v>1.3408420488066506E-2</v>
      </c>
      <c r="Q93">
        <v>39</v>
      </c>
      <c r="R93">
        <v>41</v>
      </c>
      <c r="S93" s="29">
        <v>10</v>
      </c>
      <c r="T93">
        <f t="shared" si="30"/>
        <v>90</v>
      </c>
      <c r="U93" s="26">
        <f t="shared" si="37"/>
        <v>2.461706783369803E-2</v>
      </c>
      <c r="W93" s="29">
        <v>4</v>
      </c>
      <c r="X93" s="29">
        <v>17</v>
      </c>
      <c r="Y93">
        <v>30</v>
      </c>
      <c r="Z93">
        <f t="shared" si="31"/>
        <v>51</v>
      </c>
      <c r="AA93" s="26">
        <f t="shared" si="38"/>
        <v>1.0378510378510378E-2</v>
      </c>
      <c r="AC93">
        <f t="shared" si="39"/>
        <v>249</v>
      </c>
      <c r="AD93" s="26">
        <f t="shared" si="32"/>
        <v>1.4405553948510268E-2</v>
      </c>
    </row>
    <row r="94" spans="1:30">
      <c r="A94" t="s">
        <v>65</v>
      </c>
      <c r="B94">
        <f t="shared" si="33"/>
        <v>311</v>
      </c>
      <c r="C94" s="26">
        <f t="shared" si="34"/>
        <v>1.7992479028059012E-2</v>
      </c>
      <c r="E94">
        <v>43</v>
      </c>
      <c r="F94">
        <v>23</v>
      </c>
      <c r="G94">
        <v>21</v>
      </c>
      <c r="H94">
        <f t="shared" si="28"/>
        <v>87</v>
      </c>
      <c r="I94" s="26">
        <f t="shared" si="35"/>
        <v>1.7448856799037304E-2</v>
      </c>
      <c r="K94">
        <v>13</v>
      </c>
      <c r="L94">
        <v>31</v>
      </c>
      <c r="M94">
        <v>31</v>
      </c>
      <c r="N94">
        <f t="shared" si="29"/>
        <v>75</v>
      </c>
      <c r="O94" s="26">
        <f t="shared" si="36"/>
        <v>2.0112630732099759E-2</v>
      </c>
      <c r="Q94">
        <v>27</v>
      </c>
      <c r="R94">
        <v>23</v>
      </c>
      <c r="S94" s="29">
        <v>21</v>
      </c>
      <c r="T94">
        <f t="shared" si="30"/>
        <v>71</v>
      </c>
      <c r="U94" s="26">
        <f t="shared" si="37"/>
        <v>1.9420131291028448E-2</v>
      </c>
      <c r="W94" s="29">
        <v>26</v>
      </c>
      <c r="X94" s="29">
        <v>38</v>
      </c>
      <c r="Y94">
        <v>14</v>
      </c>
      <c r="Z94">
        <f t="shared" si="31"/>
        <v>78</v>
      </c>
      <c r="AA94" s="26">
        <f t="shared" si="38"/>
        <v>1.5873015873015872E-2</v>
      </c>
      <c r="AC94">
        <f t="shared" si="39"/>
        <v>311</v>
      </c>
      <c r="AD94" s="26">
        <f t="shared" si="32"/>
        <v>1.7992479028059012E-2</v>
      </c>
    </row>
    <row r="95" spans="1:30">
      <c r="A95" t="s">
        <v>66</v>
      </c>
      <c r="B95">
        <f t="shared" si="33"/>
        <v>4186</v>
      </c>
      <c r="C95" s="26">
        <f t="shared" si="34"/>
        <v>0.24217529649985536</v>
      </c>
      <c r="E95">
        <v>430</v>
      </c>
      <c r="F95">
        <v>419</v>
      </c>
      <c r="G95">
        <v>384</v>
      </c>
      <c r="H95">
        <f t="shared" si="28"/>
        <v>1233</v>
      </c>
      <c r="I95" s="26">
        <f t="shared" si="35"/>
        <v>0.24729241877256317</v>
      </c>
      <c r="K95">
        <v>277</v>
      </c>
      <c r="L95">
        <v>275</v>
      </c>
      <c r="M95">
        <v>260</v>
      </c>
      <c r="N95">
        <f t="shared" si="29"/>
        <v>812</v>
      </c>
      <c r="O95" s="26">
        <f t="shared" si="36"/>
        <v>0.21775274872620004</v>
      </c>
      <c r="Q95">
        <v>314</v>
      </c>
      <c r="R95">
        <v>246</v>
      </c>
      <c r="S95" s="29">
        <v>284</v>
      </c>
      <c r="T95">
        <f t="shared" si="30"/>
        <v>844</v>
      </c>
      <c r="U95" s="26">
        <f t="shared" si="37"/>
        <v>0.23085339168490154</v>
      </c>
      <c r="W95" s="29">
        <v>274</v>
      </c>
      <c r="X95" s="29">
        <v>417</v>
      </c>
      <c r="Y95">
        <v>606</v>
      </c>
      <c r="Z95">
        <f t="shared" si="31"/>
        <v>1297</v>
      </c>
      <c r="AA95" s="26">
        <f t="shared" si="38"/>
        <v>0.26393976393976393</v>
      </c>
      <c r="AC95">
        <f t="shared" si="39"/>
        <v>4186</v>
      </c>
      <c r="AD95" s="26">
        <f t="shared" si="32"/>
        <v>0.24217529649985536</v>
      </c>
    </row>
    <row r="96" spans="1:30">
      <c r="A96" t="s">
        <v>89</v>
      </c>
      <c r="B96">
        <f t="shared" si="33"/>
        <v>55</v>
      </c>
      <c r="C96" s="26">
        <f t="shared" si="34"/>
        <v>3.1819496673416259E-3</v>
      </c>
      <c r="E96">
        <v>9</v>
      </c>
      <c r="F96">
        <v>0</v>
      </c>
      <c r="G96">
        <v>14</v>
      </c>
      <c r="H96">
        <f t="shared" si="28"/>
        <v>23</v>
      </c>
      <c r="I96" s="26">
        <f t="shared" si="35"/>
        <v>4.6129161652627357E-3</v>
      </c>
      <c r="K96">
        <v>5</v>
      </c>
      <c r="L96">
        <v>2</v>
      </c>
      <c r="M96">
        <v>1</v>
      </c>
      <c r="N96">
        <f t="shared" si="29"/>
        <v>8</v>
      </c>
      <c r="O96" s="26">
        <f t="shared" si="36"/>
        <v>2.1453472780906409E-3</v>
      </c>
      <c r="Q96">
        <v>1</v>
      </c>
      <c r="R96">
        <v>1</v>
      </c>
      <c r="S96" s="29">
        <v>2</v>
      </c>
      <c r="T96">
        <f t="shared" si="30"/>
        <v>4</v>
      </c>
      <c r="U96" s="26">
        <f t="shared" si="37"/>
        <v>1.0940919037199124E-3</v>
      </c>
      <c r="W96" s="29">
        <v>5</v>
      </c>
      <c r="X96" s="29">
        <v>4</v>
      </c>
      <c r="Y96">
        <v>11</v>
      </c>
      <c r="Z96">
        <f t="shared" si="31"/>
        <v>20</v>
      </c>
      <c r="AA96" s="26">
        <f t="shared" si="38"/>
        <v>4.0700040700040697E-3</v>
      </c>
      <c r="AC96">
        <f t="shared" si="39"/>
        <v>55</v>
      </c>
      <c r="AD96" s="26">
        <f t="shared" si="32"/>
        <v>3.1819496673416259E-3</v>
      </c>
    </row>
    <row r="97" spans="1:30">
      <c r="A97" t="s">
        <v>67</v>
      </c>
      <c r="B97">
        <f t="shared" si="33"/>
        <v>1262</v>
      </c>
      <c r="C97" s="26">
        <f t="shared" si="34"/>
        <v>7.3011281457911484E-2</v>
      </c>
      <c r="E97">
        <v>100</v>
      </c>
      <c r="F97">
        <v>124</v>
      </c>
      <c r="G97">
        <v>141</v>
      </c>
      <c r="H97">
        <f t="shared" si="28"/>
        <v>365</v>
      </c>
      <c r="I97" s="26">
        <f t="shared" si="35"/>
        <v>7.3204973926995584E-2</v>
      </c>
      <c r="K97">
        <v>93</v>
      </c>
      <c r="L97">
        <v>67</v>
      </c>
      <c r="M97">
        <v>108</v>
      </c>
      <c r="N97">
        <f t="shared" si="29"/>
        <v>268</v>
      </c>
      <c r="O97" s="26">
        <f t="shared" si="36"/>
        <v>7.1869133816036476E-2</v>
      </c>
      <c r="Q97">
        <v>85</v>
      </c>
      <c r="R97">
        <v>150</v>
      </c>
      <c r="S97" s="29">
        <v>105</v>
      </c>
      <c r="T97">
        <f t="shared" si="30"/>
        <v>340</v>
      </c>
      <c r="U97" s="26">
        <f t="shared" si="37"/>
        <v>9.2997811816192558E-2</v>
      </c>
      <c r="W97" s="29">
        <v>82</v>
      </c>
      <c r="X97" s="29">
        <v>102</v>
      </c>
      <c r="Y97">
        <v>105</v>
      </c>
      <c r="Z97">
        <f t="shared" si="31"/>
        <v>289</v>
      </c>
      <c r="AA97" s="26">
        <f t="shared" si="38"/>
        <v>5.8811558811558813E-2</v>
      </c>
      <c r="AC97">
        <f t="shared" si="39"/>
        <v>1262</v>
      </c>
      <c r="AD97" s="26">
        <f t="shared" si="32"/>
        <v>7.3011281457911484E-2</v>
      </c>
    </row>
    <row r="98" spans="1:30">
      <c r="A98" t="s">
        <v>90</v>
      </c>
      <c r="B98">
        <f t="shared" si="33"/>
        <v>41</v>
      </c>
      <c r="C98" s="26">
        <f t="shared" si="34"/>
        <v>2.3719988429273938E-3</v>
      </c>
      <c r="E98">
        <v>3</v>
      </c>
      <c r="F98">
        <v>0</v>
      </c>
      <c r="G98">
        <v>5</v>
      </c>
      <c r="H98">
        <f t="shared" si="28"/>
        <v>8</v>
      </c>
      <c r="I98" s="26">
        <f t="shared" si="35"/>
        <v>1.604492579221821E-3</v>
      </c>
      <c r="K98">
        <v>0</v>
      </c>
      <c r="L98">
        <v>6</v>
      </c>
      <c r="M98">
        <v>15</v>
      </c>
      <c r="N98">
        <f t="shared" si="29"/>
        <v>21</v>
      </c>
      <c r="O98" s="26">
        <f t="shared" si="36"/>
        <v>5.6315366049879325E-3</v>
      </c>
      <c r="Q98">
        <v>4</v>
      </c>
      <c r="R98">
        <v>2</v>
      </c>
      <c r="S98" s="29">
        <v>2</v>
      </c>
      <c r="T98">
        <f t="shared" si="30"/>
        <v>8</v>
      </c>
      <c r="U98" s="26">
        <f t="shared" si="37"/>
        <v>2.1881838074398249E-3</v>
      </c>
      <c r="W98" s="29">
        <v>0</v>
      </c>
      <c r="X98" s="29">
        <v>0</v>
      </c>
      <c r="Y98">
        <v>4</v>
      </c>
      <c r="Z98">
        <f t="shared" si="31"/>
        <v>4</v>
      </c>
      <c r="AA98" s="26">
        <f t="shared" si="38"/>
        <v>8.1400081400081396E-4</v>
      </c>
      <c r="AC98">
        <f t="shared" si="39"/>
        <v>41</v>
      </c>
      <c r="AD98" s="26">
        <f t="shared" si="32"/>
        <v>2.3719988429273938E-3</v>
      </c>
    </row>
    <row r="99" spans="1:30">
      <c r="A99" t="s">
        <v>69</v>
      </c>
      <c r="B99">
        <f t="shared" si="33"/>
        <v>367</v>
      </c>
      <c r="C99" s="26">
        <f t="shared" si="34"/>
        <v>2.1232282325715938E-2</v>
      </c>
      <c r="E99">
        <v>40</v>
      </c>
      <c r="F99">
        <v>28</v>
      </c>
      <c r="G99">
        <v>42</v>
      </c>
      <c r="H99">
        <f t="shared" si="28"/>
        <v>110</v>
      </c>
      <c r="I99" s="26">
        <f t="shared" si="35"/>
        <v>2.2061772964300039E-2</v>
      </c>
      <c r="K99">
        <v>18</v>
      </c>
      <c r="L99">
        <v>20</v>
      </c>
      <c r="M99">
        <v>34</v>
      </c>
      <c r="N99">
        <f t="shared" si="29"/>
        <v>72</v>
      </c>
      <c r="O99" s="26">
        <f t="shared" si="36"/>
        <v>1.9308125502815767E-2</v>
      </c>
      <c r="Q99">
        <v>19</v>
      </c>
      <c r="R99">
        <v>22</v>
      </c>
      <c r="S99" s="29">
        <v>30</v>
      </c>
      <c r="T99">
        <f t="shared" si="30"/>
        <v>71</v>
      </c>
      <c r="U99" s="26">
        <f t="shared" si="37"/>
        <v>1.9420131291028448E-2</v>
      </c>
      <c r="W99" s="29">
        <v>37</v>
      </c>
      <c r="X99" s="29">
        <v>31</v>
      </c>
      <c r="Y99">
        <v>46</v>
      </c>
      <c r="Z99">
        <f t="shared" si="31"/>
        <v>114</v>
      </c>
      <c r="AA99" s="26">
        <f t="shared" si="38"/>
        <v>2.31990231990232E-2</v>
      </c>
      <c r="AC99">
        <f t="shared" si="39"/>
        <v>367</v>
      </c>
      <c r="AD99" s="26">
        <f t="shared" si="32"/>
        <v>2.1232282325715938E-2</v>
      </c>
    </row>
    <row r="100" spans="1:30">
      <c r="A100" t="s">
        <v>70</v>
      </c>
      <c r="B100">
        <f t="shared" si="33"/>
        <v>0</v>
      </c>
      <c r="C100" s="26">
        <f t="shared" si="34"/>
        <v>0</v>
      </c>
      <c r="D100" s="26">
        <f>SUM(C88:C99)</f>
        <v>1</v>
      </c>
      <c r="E100">
        <v>0</v>
      </c>
      <c r="F100">
        <v>0</v>
      </c>
      <c r="G100">
        <v>0</v>
      </c>
      <c r="H100">
        <f t="shared" si="28"/>
        <v>0</v>
      </c>
      <c r="I100" s="26">
        <f t="shared" si="35"/>
        <v>0</v>
      </c>
      <c r="K100">
        <v>0</v>
      </c>
      <c r="L100">
        <v>0</v>
      </c>
      <c r="M100">
        <v>0</v>
      </c>
      <c r="N100">
        <f t="shared" si="29"/>
        <v>0</v>
      </c>
      <c r="O100" s="26">
        <f t="shared" si="36"/>
        <v>0</v>
      </c>
      <c r="Q100">
        <v>0</v>
      </c>
      <c r="R100">
        <v>0</v>
      </c>
      <c r="S100" s="29">
        <v>0</v>
      </c>
      <c r="T100">
        <f t="shared" si="30"/>
        <v>0</v>
      </c>
      <c r="U100" s="26">
        <f t="shared" si="37"/>
        <v>0</v>
      </c>
      <c r="W100" s="29">
        <v>0</v>
      </c>
      <c r="X100" s="29">
        <v>0</v>
      </c>
      <c r="Y100">
        <v>0</v>
      </c>
      <c r="Z100">
        <f t="shared" si="31"/>
        <v>0</v>
      </c>
      <c r="AA100" s="26">
        <f t="shared" si="38"/>
        <v>0</v>
      </c>
      <c r="AC100">
        <f>SUM(AC88:AC99)</f>
        <v>17285</v>
      </c>
      <c r="AD100" s="26">
        <f>SUM(AD88:AD99)</f>
        <v>1</v>
      </c>
    </row>
    <row r="101" spans="1:30">
      <c r="A101" s="13"/>
      <c r="B101">
        <f t="shared" si="33"/>
        <v>17285</v>
      </c>
      <c r="C101" s="26">
        <f>B101/B$101</f>
        <v>1</v>
      </c>
      <c r="H101">
        <f>SUM(H88:H100)</f>
        <v>4986</v>
      </c>
      <c r="I101" s="26">
        <f>SUM(I88:I100)</f>
        <v>0.99999999999999978</v>
      </c>
      <c r="N101">
        <f>SUM(N88:N100)</f>
        <v>3729</v>
      </c>
      <c r="O101" s="26">
        <f>SUM(O88:O100)</f>
        <v>0.99999999999999989</v>
      </c>
      <c r="T101">
        <f>SUM(T88:T99)</f>
        <v>3656</v>
      </c>
      <c r="U101" s="26">
        <f>SUM(U88:U99)</f>
        <v>1</v>
      </c>
      <c r="Y101">
        <f>SUM(Y88:Y100)</f>
        <v>2027</v>
      </c>
      <c r="Z101">
        <f>SUM(Z88:Z100)</f>
        <v>4914</v>
      </c>
      <c r="AA101" s="26">
        <f>SUM(AA88:AA100)</f>
        <v>1</v>
      </c>
    </row>
    <row r="102" spans="1:30">
      <c r="A102" s="13"/>
      <c r="I102" s="26"/>
      <c r="O102" s="26"/>
      <c r="U102" s="26"/>
      <c r="AA102" s="26"/>
    </row>
    <row r="103" spans="1:30">
      <c r="A103" s="13"/>
      <c r="I103" s="26"/>
      <c r="O103" s="26"/>
      <c r="U103" s="26"/>
      <c r="AA103" s="26"/>
    </row>
    <row r="104" spans="1:30">
      <c r="A104" s="28">
        <v>2018</v>
      </c>
      <c r="B104" s="102" t="s">
        <v>81</v>
      </c>
      <c r="C104" s="102"/>
      <c r="E104" s="1">
        <v>43101</v>
      </c>
      <c r="F104" s="1">
        <v>43132</v>
      </c>
      <c r="G104" s="1">
        <v>43160</v>
      </c>
      <c r="H104" s="102" t="s">
        <v>82</v>
      </c>
      <c r="I104" s="102"/>
      <c r="K104" s="1">
        <v>43191</v>
      </c>
      <c r="L104" s="1">
        <v>43221</v>
      </c>
      <c r="M104" s="1">
        <v>43252</v>
      </c>
      <c r="N104" s="102" t="s">
        <v>83</v>
      </c>
      <c r="O104" s="102"/>
      <c r="Q104" s="1">
        <v>43282</v>
      </c>
      <c r="R104" s="1">
        <v>43313</v>
      </c>
      <c r="S104" s="1">
        <v>43344</v>
      </c>
      <c r="T104" s="102" t="s">
        <v>84</v>
      </c>
      <c r="U104" s="102"/>
      <c r="W104" s="1">
        <v>43374</v>
      </c>
      <c r="X104" s="1">
        <v>43405</v>
      </c>
      <c r="Y104" s="1">
        <v>43435</v>
      </c>
      <c r="Z104" s="102" t="s">
        <v>85</v>
      </c>
      <c r="AA104" s="102"/>
    </row>
    <row r="105" spans="1:30">
      <c r="I105" s="26"/>
      <c r="O105" s="26"/>
      <c r="U105" s="26"/>
      <c r="AA105" s="26"/>
    </row>
    <row r="106" spans="1:30">
      <c r="A106" t="s">
        <v>59</v>
      </c>
      <c r="B106">
        <f>H106+N106+T106+Z106</f>
        <v>5373</v>
      </c>
      <c r="C106" s="26">
        <f>B106/B$119</f>
        <v>0.28769543799528807</v>
      </c>
      <c r="E106">
        <v>482</v>
      </c>
      <c r="F106">
        <v>488</v>
      </c>
      <c r="G106">
        <v>554</v>
      </c>
      <c r="H106">
        <f t="shared" ref="H106:H118" si="40">SUM(E106:G106)</f>
        <v>1524</v>
      </c>
      <c r="I106" s="26">
        <f t="shared" ref="I106:I119" si="41">H106/$H$119</f>
        <v>0.31916230366492149</v>
      </c>
      <c r="K106">
        <v>399</v>
      </c>
      <c r="L106">
        <v>350</v>
      </c>
      <c r="M106">
        <v>306</v>
      </c>
      <c r="N106">
        <f>SUM(K106:M106)</f>
        <v>1055</v>
      </c>
      <c r="O106" s="26">
        <f t="shared" ref="O106:O118" si="42">N106/$H$119</f>
        <v>0.22094240837696336</v>
      </c>
      <c r="Q106">
        <v>342</v>
      </c>
      <c r="R106">
        <v>411</v>
      </c>
      <c r="S106">
        <v>459</v>
      </c>
      <c r="T106">
        <f>SUM(Q106:S106)</f>
        <v>1212</v>
      </c>
      <c r="U106" s="26">
        <f t="shared" ref="U106:U118" si="43">T106/$T$119</f>
        <v>0.29568187362771409</v>
      </c>
      <c r="W106">
        <v>476</v>
      </c>
      <c r="X106">
        <v>547</v>
      </c>
      <c r="Y106">
        <v>559</v>
      </c>
      <c r="Z106">
        <f>SUM(W106:Y106)</f>
        <v>1582</v>
      </c>
      <c r="AA106" s="26">
        <f t="shared" ref="AA106:AA118" si="44">Z106/$T$119</f>
        <v>0.38594779214442548</v>
      </c>
    </row>
    <row r="107" spans="1:30">
      <c r="A107" t="s">
        <v>60</v>
      </c>
      <c r="B107">
        <f t="shared" ref="B107:B119" si="45">H107+N107+T107+Z107</f>
        <v>3360</v>
      </c>
      <c r="C107" s="26">
        <f t="shared" ref="C107:C119" si="46">B107/B$119</f>
        <v>0.17991004497751126</v>
      </c>
      <c r="E107">
        <v>316</v>
      </c>
      <c r="F107">
        <v>270</v>
      </c>
      <c r="G107">
        <v>350</v>
      </c>
      <c r="H107">
        <f t="shared" si="40"/>
        <v>936</v>
      </c>
      <c r="I107" s="26">
        <f t="shared" si="41"/>
        <v>0.19602094240837697</v>
      </c>
      <c r="K107">
        <v>293</v>
      </c>
      <c r="L107">
        <v>274</v>
      </c>
      <c r="M107">
        <v>230</v>
      </c>
      <c r="N107">
        <f t="shared" ref="N107:N117" si="47">SUM(K107:M107)</f>
        <v>797</v>
      </c>
      <c r="O107" s="26">
        <f t="shared" si="42"/>
        <v>0.16691099476439791</v>
      </c>
      <c r="Q107">
        <v>232</v>
      </c>
      <c r="R107">
        <v>295</v>
      </c>
      <c r="S107">
        <v>212</v>
      </c>
      <c r="T107">
        <f t="shared" ref="T107:T118" si="48">SUM(Q107:S107)</f>
        <v>739</v>
      </c>
      <c r="U107" s="26">
        <f t="shared" si="43"/>
        <v>0.18028787509148572</v>
      </c>
      <c r="W107">
        <v>278</v>
      </c>
      <c r="X107">
        <v>327</v>
      </c>
      <c r="Y107">
        <v>283</v>
      </c>
      <c r="Z107">
        <f t="shared" ref="Z107:Z116" si="49">SUM(W107:Y107)</f>
        <v>888</v>
      </c>
      <c r="AA107" s="26">
        <f t="shared" si="44"/>
        <v>0.21663820444010734</v>
      </c>
    </row>
    <row r="108" spans="1:30">
      <c r="A108" t="s">
        <v>61</v>
      </c>
      <c r="B108">
        <f t="shared" si="45"/>
        <v>72</v>
      </c>
      <c r="C108" s="26">
        <f t="shared" si="46"/>
        <v>3.855215249518098E-3</v>
      </c>
      <c r="E108">
        <v>2</v>
      </c>
      <c r="F108">
        <v>3</v>
      </c>
      <c r="G108">
        <v>2</v>
      </c>
      <c r="H108">
        <f t="shared" si="40"/>
        <v>7</v>
      </c>
      <c r="I108" s="26">
        <f t="shared" si="41"/>
        <v>1.4659685863874345E-3</v>
      </c>
      <c r="K108">
        <v>5</v>
      </c>
      <c r="L108">
        <v>0</v>
      </c>
      <c r="M108">
        <v>5</v>
      </c>
      <c r="N108">
        <f t="shared" si="47"/>
        <v>10</v>
      </c>
      <c r="O108" s="26">
        <f t="shared" si="42"/>
        <v>2.0942408376963353E-3</v>
      </c>
      <c r="Q108">
        <v>17</v>
      </c>
      <c r="R108">
        <v>22</v>
      </c>
      <c r="S108">
        <v>12</v>
      </c>
      <c r="T108">
        <f t="shared" si="48"/>
        <v>51</v>
      </c>
      <c r="U108" s="26">
        <f t="shared" si="43"/>
        <v>1.2442059038789949E-2</v>
      </c>
      <c r="W108">
        <v>4</v>
      </c>
      <c r="X108">
        <v>0</v>
      </c>
      <c r="Y108">
        <v>0</v>
      </c>
      <c r="Z108">
        <f t="shared" si="49"/>
        <v>4</v>
      </c>
      <c r="AA108" s="26">
        <f t="shared" si="44"/>
        <v>9.7584776774823126E-4</v>
      </c>
    </row>
    <row r="109" spans="1:30">
      <c r="A109" t="s">
        <v>62</v>
      </c>
      <c r="B109">
        <f t="shared" si="45"/>
        <v>1807</v>
      </c>
      <c r="C109" s="26">
        <f t="shared" si="46"/>
        <v>9.6755193831655595E-2</v>
      </c>
      <c r="E109">
        <v>175</v>
      </c>
      <c r="F109">
        <v>176</v>
      </c>
      <c r="G109">
        <v>113</v>
      </c>
      <c r="H109">
        <f t="shared" si="40"/>
        <v>464</v>
      </c>
      <c r="I109" s="26">
        <f t="shared" si="41"/>
        <v>9.7172774869109954E-2</v>
      </c>
      <c r="K109">
        <v>150</v>
      </c>
      <c r="L109">
        <v>112</v>
      </c>
      <c r="M109">
        <v>146</v>
      </c>
      <c r="N109">
        <f t="shared" si="47"/>
        <v>408</v>
      </c>
      <c r="O109" s="26">
        <f t="shared" si="42"/>
        <v>8.5445026178010475E-2</v>
      </c>
      <c r="Q109">
        <v>100</v>
      </c>
      <c r="R109">
        <v>123</v>
      </c>
      <c r="S109">
        <v>147</v>
      </c>
      <c r="T109">
        <f t="shared" si="48"/>
        <v>370</v>
      </c>
      <c r="U109" s="26">
        <f t="shared" si="43"/>
        <v>9.0265918516711396E-2</v>
      </c>
      <c r="W109">
        <v>138</v>
      </c>
      <c r="X109">
        <v>198</v>
      </c>
      <c r="Y109">
        <v>229</v>
      </c>
      <c r="Z109">
        <f t="shared" si="49"/>
        <v>565</v>
      </c>
      <c r="AA109" s="26">
        <f t="shared" si="44"/>
        <v>0.13783849719443766</v>
      </c>
    </row>
    <row r="110" spans="1:30">
      <c r="A110" t="s">
        <v>63</v>
      </c>
      <c r="B110">
        <f t="shared" si="45"/>
        <v>140</v>
      </c>
      <c r="C110" s="26">
        <f t="shared" si="46"/>
        <v>7.4962518740629685E-3</v>
      </c>
      <c r="E110">
        <v>10</v>
      </c>
      <c r="F110">
        <v>17</v>
      </c>
      <c r="G110">
        <v>44</v>
      </c>
      <c r="H110">
        <f t="shared" si="40"/>
        <v>71</v>
      </c>
      <c r="I110" s="26">
        <f t="shared" si="41"/>
        <v>1.4869109947643979E-2</v>
      </c>
      <c r="K110">
        <v>3</v>
      </c>
      <c r="L110">
        <v>4</v>
      </c>
      <c r="M110">
        <v>4</v>
      </c>
      <c r="N110">
        <f t="shared" si="47"/>
        <v>11</v>
      </c>
      <c r="O110" s="26">
        <f t="shared" si="42"/>
        <v>2.3036649214659686E-3</v>
      </c>
      <c r="Q110">
        <v>20</v>
      </c>
      <c r="R110">
        <v>4</v>
      </c>
      <c r="S110">
        <v>6</v>
      </c>
      <c r="T110">
        <f t="shared" si="48"/>
        <v>30</v>
      </c>
      <c r="U110" s="26">
        <f t="shared" si="43"/>
        <v>7.3188582581117344E-3</v>
      </c>
      <c r="W110">
        <v>10</v>
      </c>
      <c r="X110">
        <v>8</v>
      </c>
      <c r="Y110">
        <v>10</v>
      </c>
      <c r="Z110">
        <f t="shared" si="49"/>
        <v>28</v>
      </c>
      <c r="AA110" s="26">
        <f t="shared" si="44"/>
        <v>6.8309343742376186E-3</v>
      </c>
    </row>
    <row r="111" spans="1:30">
      <c r="A111" t="s">
        <v>64</v>
      </c>
      <c r="B111">
        <f t="shared" si="45"/>
        <v>267</v>
      </c>
      <c r="C111" s="26">
        <f t="shared" si="46"/>
        <v>1.4296423216962947E-2</v>
      </c>
      <c r="E111">
        <v>22</v>
      </c>
      <c r="F111">
        <v>14</v>
      </c>
      <c r="G111">
        <v>16</v>
      </c>
      <c r="H111">
        <f t="shared" si="40"/>
        <v>52</v>
      </c>
      <c r="I111" s="26">
        <f t="shared" si="41"/>
        <v>1.0890052356020943E-2</v>
      </c>
      <c r="K111">
        <v>6</v>
      </c>
      <c r="L111">
        <v>46</v>
      </c>
      <c r="M111">
        <v>28</v>
      </c>
      <c r="N111">
        <f t="shared" si="47"/>
        <v>80</v>
      </c>
      <c r="O111" s="26">
        <f t="shared" si="42"/>
        <v>1.6753926701570682E-2</v>
      </c>
      <c r="Q111">
        <v>15</v>
      </c>
      <c r="R111">
        <v>21</v>
      </c>
      <c r="S111">
        <v>27</v>
      </c>
      <c r="T111">
        <f t="shared" si="48"/>
        <v>63</v>
      </c>
      <c r="U111" s="26">
        <f t="shared" si="43"/>
        <v>1.5369602342034643E-2</v>
      </c>
      <c r="W111">
        <v>38</v>
      </c>
      <c r="X111">
        <v>19</v>
      </c>
      <c r="Y111">
        <v>15</v>
      </c>
      <c r="Z111">
        <f t="shared" si="49"/>
        <v>72</v>
      </c>
      <c r="AA111" s="26">
        <f t="shared" si="44"/>
        <v>1.7565259819468163E-2</v>
      </c>
    </row>
    <row r="112" spans="1:30">
      <c r="A112" t="s">
        <v>65</v>
      </c>
      <c r="B112">
        <f t="shared" si="45"/>
        <v>491</v>
      </c>
      <c r="C112" s="26">
        <f t="shared" si="46"/>
        <v>2.6290426215463698E-2</v>
      </c>
      <c r="E112">
        <v>17</v>
      </c>
      <c r="F112">
        <v>26</v>
      </c>
      <c r="G112">
        <v>48</v>
      </c>
      <c r="H112">
        <f t="shared" si="40"/>
        <v>91</v>
      </c>
      <c r="I112" s="26">
        <f t="shared" si="41"/>
        <v>1.9057591623036649E-2</v>
      </c>
      <c r="K112">
        <v>34</v>
      </c>
      <c r="L112">
        <v>59</v>
      </c>
      <c r="M112">
        <v>61</v>
      </c>
      <c r="N112">
        <f t="shared" si="47"/>
        <v>154</v>
      </c>
      <c r="O112" s="26">
        <f t="shared" si="42"/>
        <v>3.2251308900523558E-2</v>
      </c>
      <c r="Q112">
        <v>39</v>
      </c>
      <c r="R112">
        <v>44</v>
      </c>
      <c r="S112">
        <v>26</v>
      </c>
      <c r="T112">
        <f t="shared" si="48"/>
        <v>109</v>
      </c>
      <c r="U112" s="26">
        <f t="shared" si="43"/>
        <v>2.6591851671139304E-2</v>
      </c>
      <c r="W112">
        <v>54</v>
      </c>
      <c r="X112">
        <v>37</v>
      </c>
      <c r="Y112">
        <v>46</v>
      </c>
      <c r="Z112">
        <f t="shared" si="49"/>
        <v>137</v>
      </c>
      <c r="AA112" s="26">
        <f t="shared" si="44"/>
        <v>3.342278604537692E-2</v>
      </c>
    </row>
    <row r="113" spans="1:27">
      <c r="A113" t="s">
        <v>66</v>
      </c>
      <c r="B113">
        <f t="shared" si="45"/>
        <v>5292</v>
      </c>
      <c r="C113" s="26">
        <f t="shared" si="46"/>
        <v>0.28335832083958024</v>
      </c>
      <c r="E113">
        <v>395</v>
      </c>
      <c r="F113">
        <v>355</v>
      </c>
      <c r="G113">
        <v>436</v>
      </c>
      <c r="H113">
        <f t="shared" si="40"/>
        <v>1186</v>
      </c>
      <c r="I113" s="26">
        <f t="shared" si="41"/>
        <v>0.24837696335078535</v>
      </c>
      <c r="K113">
        <v>341</v>
      </c>
      <c r="L113">
        <v>310</v>
      </c>
      <c r="M113">
        <v>295</v>
      </c>
      <c r="N113">
        <f t="shared" si="47"/>
        <v>946</v>
      </c>
      <c r="O113" s="26">
        <f t="shared" si="42"/>
        <v>0.1981151832460733</v>
      </c>
      <c r="Q113">
        <v>286</v>
      </c>
      <c r="R113">
        <v>394</v>
      </c>
      <c r="S113">
        <v>420</v>
      </c>
      <c r="T113">
        <f t="shared" si="48"/>
        <v>1100</v>
      </c>
      <c r="U113" s="26">
        <f t="shared" si="43"/>
        <v>0.26835813613076359</v>
      </c>
      <c r="W113">
        <v>567</v>
      </c>
      <c r="X113">
        <v>661</v>
      </c>
      <c r="Y113">
        <v>832</v>
      </c>
      <c r="Z113">
        <f t="shared" si="49"/>
        <v>2060</v>
      </c>
      <c r="AA113" s="26">
        <f t="shared" si="44"/>
        <v>0.50256160039033915</v>
      </c>
    </row>
    <row r="114" spans="1:27">
      <c r="A114" t="s">
        <v>89</v>
      </c>
      <c r="B114">
        <f t="shared" si="45"/>
        <v>91</v>
      </c>
      <c r="C114" s="26">
        <f t="shared" si="46"/>
        <v>4.8725637181409294E-3</v>
      </c>
      <c r="E114">
        <v>1</v>
      </c>
      <c r="F114">
        <v>16</v>
      </c>
      <c r="G114">
        <v>11</v>
      </c>
      <c r="H114">
        <f t="shared" si="40"/>
        <v>28</v>
      </c>
      <c r="I114" s="26">
        <f t="shared" si="41"/>
        <v>5.863874345549738E-3</v>
      </c>
      <c r="K114">
        <v>4</v>
      </c>
      <c r="L114">
        <v>5</v>
      </c>
      <c r="M114">
        <v>20</v>
      </c>
      <c r="N114">
        <f t="shared" si="47"/>
        <v>29</v>
      </c>
      <c r="O114" s="26">
        <f t="shared" si="42"/>
        <v>6.0732984293193721E-3</v>
      </c>
      <c r="Q114">
        <v>4</v>
      </c>
      <c r="R114">
        <v>10</v>
      </c>
      <c r="S114">
        <v>4</v>
      </c>
      <c r="T114">
        <f t="shared" si="48"/>
        <v>18</v>
      </c>
      <c r="U114" s="26">
        <f t="shared" si="43"/>
        <v>4.3913149548670408E-3</v>
      </c>
      <c r="W114">
        <v>5</v>
      </c>
      <c r="X114">
        <v>6</v>
      </c>
      <c r="Y114">
        <v>5</v>
      </c>
      <c r="Z114">
        <f t="shared" si="49"/>
        <v>16</v>
      </c>
      <c r="AA114" s="26">
        <f t="shared" si="44"/>
        <v>3.9033910709929251E-3</v>
      </c>
    </row>
    <row r="115" spans="1:27">
      <c r="A115" t="s">
        <v>67</v>
      </c>
      <c r="B115">
        <f t="shared" si="45"/>
        <v>1299</v>
      </c>
      <c r="C115" s="26">
        <f t="shared" si="46"/>
        <v>6.9554508460055689E-2</v>
      </c>
      <c r="E115">
        <v>94</v>
      </c>
      <c r="F115">
        <v>84</v>
      </c>
      <c r="G115">
        <v>98</v>
      </c>
      <c r="H115">
        <f t="shared" si="40"/>
        <v>276</v>
      </c>
      <c r="I115" s="26">
        <f t="shared" si="41"/>
        <v>5.780104712041885E-2</v>
      </c>
      <c r="K115">
        <v>101</v>
      </c>
      <c r="L115">
        <v>116</v>
      </c>
      <c r="M115">
        <v>81</v>
      </c>
      <c r="N115">
        <f t="shared" si="47"/>
        <v>298</v>
      </c>
      <c r="O115" s="26">
        <f t="shared" si="42"/>
        <v>6.2408376963350783E-2</v>
      </c>
      <c r="Q115">
        <v>91</v>
      </c>
      <c r="R115">
        <v>69</v>
      </c>
      <c r="S115">
        <v>158</v>
      </c>
      <c r="T115">
        <f t="shared" si="48"/>
        <v>318</v>
      </c>
      <c r="U115" s="26">
        <f t="shared" si="43"/>
        <v>7.7579897535984391E-2</v>
      </c>
      <c r="W115">
        <v>125</v>
      </c>
      <c r="X115">
        <v>116</v>
      </c>
      <c r="Y115">
        <v>166</v>
      </c>
      <c r="Z115">
        <f t="shared" si="49"/>
        <v>407</v>
      </c>
      <c r="AA115" s="26">
        <f t="shared" si="44"/>
        <v>9.9292510368382533E-2</v>
      </c>
    </row>
    <row r="116" spans="1:27">
      <c r="A116" t="s">
        <v>90</v>
      </c>
      <c r="B116">
        <f t="shared" si="45"/>
        <v>22</v>
      </c>
      <c r="C116" s="26">
        <f t="shared" si="46"/>
        <v>1.1779824373527523E-3</v>
      </c>
      <c r="E116">
        <v>0</v>
      </c>
      <c r="F116">
        <v>2</v>
      </c>
      <c r="G116">
        <v>0</v>
      </c>
      <c r="H116">
        <f t="shared" si="40"/>
        <v>2</v>
      </c>
      <c r="I116" s="26">
        <f t="shared" si="41"/>
        <v>4.18848167539267E-4</v>
      </c>
      <c r="K116">
        <v>0</v>
      </c>
      <c r="L116">
        <v>2</v>
      </c>
      <c r="M116">
        <v>2</v>
      </c>
      <c r="N116">
        <f t="shared" si="47"/>
        <v>4</v>
      </c>
      <c r="O116" s="26">
        <f t="shared" si="42"/>
        <v>8.3769633507853401E-4</v>
      </c>
      <c r="Q116">
        <v>6</v>
      </c>
      <c r="R116">
        <v>2</v>
      </c>
      <c r="S116">
        <v>2</v>
      </c>
      <c r="T116">
        <f t="shared" si="48"/>
        <v>10</v>
      </c>
      <c r="U116" s="26">
        <f t="shared" si="43"/>
        <v>2.4396194193705783E-3</v>
      </c>
      <c r="W116">
        <v>6</v>
      </c>
      <c r="X116">
        <v>0</v>
      </c>
      <c r="Y116">
        <v>0</v>
      </c>
      <c r="Z116">
        <f t="shared" si="49"/>
        <v>6</v>
      </c>
      <c r="AA116" s="26">
        <f t="shared" si="44"/>
        <v>1.463771651622347E-3</v>
      </c>
    </row>
    <row r="117" spans="1:27">
      <c r="A117" t="s">
        <v>69</v>
      </c>
      <c r="B117">
        <f t="shared" si="45"/>
        <v>462</v>
      </c>
      <c r="C117" s="26">
        <f t="shared" si="46"/>
        <v>2.4737631184407798E-2</v>
      </c>
      <c r="E117">
        <v>48</v>
      </c>
      <c r="F117">
        <v>41</v>
      </c>
      <c r="G117">
        <v>49</v>
      </c>
      <c r="H117">
        <f t="shared" si="40"/>
        <v>138</v>
      </c>
      <c r="I117" s="26">
        <f t="shared" si="41"/>
        <v>2.8900523560209425E-2</v>
      </c>
      <c r="K117">
        <v>28</v>
      </c>
      <c r="L117">
        <v>24</v>
      </c>
      <c r="M117">
        <v>23</v>
      </c>
      <c r="N117">
        <f t="shared" si="47"/>
        <v>75</v>
      </c>
      <c r="O117" s="26">
        <f t="shared" si="42"/>
        <v>1.5706806282722512E-2</v>
      </c>
      <c r="Q117">
        <v>41</v>
      </c>
      <c r="R117">
        <v>13</v>
      </c>
      <c r="S117">
        <v>25</v>
      </c>
      <c r="T117">
        <f t="shared" si="48"/>
        <v>79</v>
      </c>
      <c r="U117" s="26">
        <f t="shared" si="43"/>
        <v>1.9272993413027569E-2</v>
      </c>
      <c r="W117">
        <v>49</v>
      </c>
      <c r="X117">
        <v>49</v>
      </c>
      <c r="Y117">
        <v>72</v>
      </c>
      <c r="Z117">
        <f>SUM(W117:Y117)</f>
        <v>170</v>
      </c>
      <c r="AA117" s="26">
        <f t="shared" si="44"/>
        <v>4.1473530129299829E-2</v>
      </c>
    </row>
    <row r="118" spans="1:27">
      <c r="A118" t="s">
        <v>70</v>
      </c>
      <c r="B118">
        <f t="shared" si="45"/>
        <v>0</v>
      </c>
      <c r="C118" s="26">
        <f t="shared" si="46"/>
        <v>0</v>
      </c>
      <c r="D118" s="26">
        <f>SUM(C106:C117)</f>
        <v>1.0000000000000002</v>
      </c>
      <c r="E118">
        <v>0</v>
      </c>
      <c r="G118">
        <v>0</v>
      </c>
      <c r="H118">
        <f t="shared" si="40"/>
        <v>0</v>
      </c>
      <c r="I118" s="26">
        <f t="shared" si="41"/>
        <v>0</v>
      </c>
      <c r="K118">
        <v>0</v>
      </c>
      <c r="L118">
        <v>0</v>
      </c>
      <c r="M118">
        <v>0</v>
      </c>
      <c r="N118">
        <f>SUM(K118:M118)</f>
        <v>0</v>
      </c>
      <c r="O118" s="26">
        <f t="shared" si="42"/>
        <v>0</v>
      </c>
      <c r="T118">
        <f t="shared" si="48"/>
        <v>0</v>
      </c>
      <c r="U118" s="26">
        <f t="shared" si="43"/>
        <v>0</v>
      </c>
      <c r="W118">
        <v>0</v>
      </c>
      <c r="X118">
        <v>0</v>
      </c>
      <c r="Z118">
        <f>SUM(W118:Y118)</f>
        <v>0</v>
      </c>
      <c r="AA118" s="26">
        <f t="shared" si="44"/>
        <v>0</v>
      </c>
    </row>
    <row r="119" spans="1:27">
      <c r="B119">
        <f t="shared" si="45"/>
        <v>18676</v>
      </c>
      <c r="C119" s="26">
        <f t="shared" si="46"/>
        <v>1</v>
      </c>
      <c r="E119">
        <f>SUM(E106:E118)</f>
        <v>1562</v>
      </c>
      <c r="F119">
        <f>SUM(F106:F118)</f>
        <v>1492</v>
      </c>
      <c r="G119">
        <f>SUM(G106:G118)</f>
        <v>1721</v>
      </c>
      <c r="H119">
        <f>SUM(H106:H118)</f>
        <v>4775</v>
      </c>
      <c r="I119" s="26">
        <f t="shared" si="41"/>
        <v>1</v>
      </c>
      <c r="K119">
        <f>SUM(K106:K118)</f>
        <v>1364</v>
      </c>
      <c r="L119">
        <f>SUM(L106:L118)</f>
        <v>1302</v>
      </c>
      <c r="M119">
        <f>SUM(M106:M118)</f>
        <v>1201</v>
      </c>
      <c r="N119">
        <f>SUM(N106:N118)</f>
        <v>3867</v>
      </c>
      <c r="O119" s="26">
        <f>SUM(O106:O118)</f>
        <v>0.80984293193717283</v>
      </c>
      <c r="Q119">
        <f>SUM(Q106:Q118)</f>
        <v>1193</v>
      </c>
      <c r="R119">
        <f>SUM(R106:R118)</f>
        <v>1408</v>
      </c>
      <c r="S119">
        <f>SUM(S106:S118)</f>
        <v>1498</v>
      </c>
      <c r="T119">
        <f>SUM(T106:T118)</f>
        <v>4099</v>
      </c>
      <c r="U119" s="26">
        <f>SUM(U106:U118)</f>
        <v>1</v>
      </c>
      <c r="W119">
        <f>SUM(W106:W118)</f>
        <v>1750</v>
      </c>
      <c r="X119">
        <f>SUM(X106:X118)</f>
        <v>1968</v>
      </c>
      <c r="Y119">
        <f>SUM(Y106:Y118)</f>
        <v>2217</v>
      </c>
      <c r="Z119">
        <f>SUM(Z106:Z118)</f>
        <v>5935</v>
      </c>
      <c r="AA119" s="26">
        <f>SUM(AA106:AA118)</f>
        <v>1.4479141253964385</v>
      </c>
    </row>
    <row r="120" spans="1:27">
      <c r="I120" s="26"/>
      <c r="O120" s="26"/>
      <c r="U120" s="26"/>
      <c r="AA120" s="26"/>
    </row>
    <row r="121" spans="1:27">
      <c r="A121" s="13"/>
    </row>
    <row r="122" spans="1:27">
      <c r="A122" s="28">
        <v>2019</v>
      </c>
      <c r="B122" s="102" t="s">
        <v>81</v>
      </c>
      <c r="C122" s="102"/>
      <c r="E122" s="1">
        <v>43466</v>
      </c>
      <c r="F122" s="1">
        <v>43497</v>
      </c>
      <c r="G122" s="1">
        <v>43525</v>
      </c>
      <c r="H122" s="102" t="s">
        <v>82</v>
      </c>
      <c r="I122" s="102"/>
      <c r="K122" s="1">
        <v>43556</v>
      </c>
      <c r="L122" s="1">
        <v>43586</v>
      </c>
      <c r="M122" s="1">
        <v>43617</v>
      </c>
      <c r="N122" s="102" t="s">
        <v>83</v>
      </c>
      <c r="O122" s="102"/>
      <c r="Q122" s="1">
        <v>43647</v>
      </c>
      <c r="R122" s="1">
        <v>43678</v>
      </c>
      <c r="S122" s="1">
        <v>43709</v>
      </c>
      <c r="T122" s="102" t="s">
        <v>84</v>
      </c>
      <c r="U122" s="102"/>
      <c r="W122" s="1">
        <v>43739</v>
      </c>
      <c r="X122" s="1">
        <v>43770</v>
      </c>
      <c r="Y122" s="1">
        <v>43800</v>
      </c>
      <c r="Z122" s="102" t="s">
        <v>85</v>
      </c>
      <c r="AA122" s="102"/>
    </row>
    <row r="124" spans="1:27">
      <c r="A124" t="s">
        <v>59</v>
      </c>
      <c r="B124">
        <f>H124+N124+T124+Z124</f>
        <v>3911</v>
      </c>
      <c r="C124" s="26">
        <f>B124/B$137</f>
        <v>0.20089377439901376</v>
      </c>
      <c r="E124">
        <v>560</v>
      </c>
      <c r="F124">
        <v>433</v>
      </c>
      <c r="G124">
        <v>373</v>
      </c>
      <c r="H124">
        <f t="shared" ref="H124:H135" si="50">SUM(E124:G124)</f>
        <v>1366</v>
      </c>
      <c r="I124" s="26">
        <f>H124/$H$137</f>
        <v>0.25004576240161086</v>
      </c>
      <c r="K124">
        <v>295</v>
      </c>
      <c r="L124">
        <v>311</v>
      </c>
      <c r="M124">
        <v>194</v>
      </c>
      <c r="N124">
        <f>SUM(K124:M124)</f>
        <v>800</v>
      </c>
      <c r="O124" s="26">
        <f>N124/$N$137</f>
        <v>0.18984337921214997</v>
      </c>
      <c r="Q124">
        <v>261</v>
      </c>
      <c r="R124">
        <v>237</v>
      </c>
      <c r="S124">
        <v>309</v>
      </c>
      <c r="T124">
        <f>SUM(Q124:S124)</f>
        <v>807</v>
      </c>
      <c r="U124" s="26">
        <f>T124/$T$137</f>
        <v>0.18758716875871687</v>
      </c>
      <c r="W124">
        <v>283</v>
      </c>
      <c r="X124">
        <v>344</v>
      </c>
      <c r="Y124">
        <v>311</v>
      </c>
      <c r="Z124">
        <f>SUM(W124:Y124)</f>
        <v>938</v>
      </c>
      <c r="AA124" s="26">
        <f>Z124/$Z$137</f>
        <v>0.17088722900346145</v>
      </c>
    </row>
    <row r="125" spans="1:27">
      <c r="A125" t="s">
        <v>60</v>
      </c>
      <c r="B125">
        <f t="shared" ref="B125:B137" si="51">H125+N125+T125+Z125</f>
        <v>2834</v>
      </c>
      <c r="C125" s="26">
        <f t="shared" ref="C125:C136" si="52">B125/B$137</f>
        <v>0.14557222108074788</v>
      </c>
      <c r="E125">
        <v>355</v>
      </c>
      <c r="F125">
        <v>302</v>
      </c>
      <c r="G125">
        <v>263</v>
      </c>
      <c r="H125">
        <f t="shared" si="50"/>
        <v>920</v>
      </c>
      <c r="I125" s="26">
        <f t="shared" ref="I125:I135" si="53">H125/$H$137</f>
        <v>0.16840563792787847</v>
      </c>
      <c r="K125">
        <v>218</v>
      </c>
      <c r="L125">
        <v>225</v>
      </c>
      <c r="M125">
        <v>176</v>
      </c>
      <c r="N125">
        <f>SUM(K125:M125)</f>
        <v>619</v>
      </c>
      <c r="O125" s="26">
        <f t="shared" ref="O125:O135" si="54">N125/$N$137</f>
        <v>0.14689131466540103</v>
      </c>
      <c r="Q125">
        <v>209</v>
      </c>
      <c r="R125">
        <v>198</v>
      </c>
      <c r="S125">
        <v>185</v>
      </c>
      <c r="T125">
        <f>SUM(Q125:S125)</f>
        <v>592</v>
      </c>
      <c r="U125" s="26">
        <f t="shared" ref="U125:U135" si="55">T125/$T$137</f>
        <v>0.13761041376104138</v>
      </c>
      <c r="W125">
        <v>269</v>
      </c>
      <c r="X125">
        <v>220</v>
      </c>
      <c r="Y125">
        <v>214</v>
      </c>
      <c r="Z125">
        <f>SUM(W125:Y125)</f>
        <v>703</v>
      </c>
      <c r="AA125" s="26">
        <f>Z125/$Z$137</f>
        <v>0.1280743304791401</v>
      </c>
    </row>
    <row r="126" spans="1:27">
      <c r="A126" t="s">
        <v>61</v>
      </c>
      <c r="B126">
        <f t="shared" si="51"/>
        <v>199</v>
      </c>
      <c r="C126" s="26">
        <f t="shared" si="52"/>
        <v>1.0221902609410314E-2</v>
      </c>
      <c r="E126">
        <v>5</v>
      </c>
      <c r="F126">
        <v>0</v>
      </c>
      <c r="G126">
        <v>1</v>
      </c>
      <c r="H126">
        <f t="shared" si="50"/>
        <v>6</v>
      </c>
      <c r="I126" s="26">
        <f t="shared" si="53"/>
        <v>1.0982976386600769E-3</v>
      </c>
      <c r="K126">
        <v>36</v>
      </c>
      <c r="L126">
        <v>3</v>
      </c>
      <c r="M126">
        <v>5</v>
      </c>
      <c r="N126">
        <f>SUM(K126:M126)</f>
        <v>44</v>
      </c>
      <c r="O126" s="26">
        <f t="shared" si="54"/>
        <v>1.0441385856668249E-2</v>
      </c>
      <c r="Q126">
        <v>12</v>
      </c>
      <c r="R126">
        <v>101</v>
      </c>
      <c r="S126">
        <v>5</v>
      </c>
      <c r="T126">
        <f>SUM(Q126:S126)</f>
        <v>118</v>
      </c>
      <c r="U126" s="26">
        <f t="shared" si="55"/>
        <v>2.7429102742910275E-2</v>
      </c>
      <c r="W126">
        <v>6</v>
      </c>
      <c r="X126">
        <v>12</v>
      </c>
      <c r="Y126">
        <v>13</v>
      </c>
      <c r="Z126">
        <f>SUM(W126:Y126)</f>
        <v>31</v>
      </c>
      <c r="AA126" s="26">
        <f>Z126/$Z$137</f>
        <v>5.6476589542721811E-3</v>
      </c>
    </row>
    <row r="127" spans="1:27">
      <c r="A127" t="s">
        <v>62</v>
      </c>
      <c r="B127">
        <f t="shared" si="51"/>
        <v>2402</v>
      </c>
      <c r="C127" s="26">
        <f t="shared" si="52"/>
        <v>0.12338196013971646</v>
      </c>
      <c r="E127">
        <v>229</v>
      </c>
      <c r="F127">
        <v>196</v>
      </c>
      <c r="G127">
        <v>152</v>
      </c>
      <c r="H127">
        <f t="shared" si="50"/>
        <v>577</v>
      </c>
      <c r="I127" s="26">
        <f t="shared" si="53"/>
        <v>0.10561962291781073</v>
      </c>
      <c r="K127">
        <v>184</v>
      </c>
      <c r="L127">
        <v>205</v>
      </c>
      <c r="M127">
        <v>151</v>
      </c>
      <c r="N127">
        <f>SUM(K127:M127)</f>
        <v>540</v>
      </c>
      <c r="O127" s="26">
        <f t="shared" si="54"/>
        <v>0.12814428096820124</v>
      </c>
      <c r="Q127">
        <v>142</v>
      </c>
      <c r="R127">
        <v>189</v>
      </c>
      <c r="S127">
        <v>196</v>
      </c>
      <c r="T127">
        <f>SUM(Q127:S127)</f>
        <v>527</v>
      </c>
      <c r="U127" s="26">
        <f t="shared" si="55"/>
        <v>0.12250116225011623</v>
      </c>
      <c r="W127">
        <v>213</v>
      </c>
      <c r="X127">
        <v>302</v>
      </c>
      <c r="Y127">
        <v>243</v>
      </c>
      <c r="Z127">
        <f t="shared" ref="Z127:Z135" si="56">SUM(W127:Y127)</f>
        <v>758</v>
      </c>
      <c r="AA127" s="26">
        <f t="shared" ref="AA127:AA135" si="57">Z127/$Z$137</f>
        <v>0.13809437055930041</v>
      </c>
    </row>
    <row r="128" spans="1:27">
      <c r="A128" t="s">
        <v>63</v>
      </c>
      <c r="B128">
        <f t="shared" si="51"/>
        <v>184</v>
      </c>
      <c r="C128" s="26">
        <f t="shared" si="52"/>
        <v>9.4514074378467226E-3</v>
      </c>
      <c r="E128">
        <v>34</v>
      </c>
      <c r="F128">
        <v>11</v>
      </c>
      <c r="G128">
        <v>18</v>
      </c>
      <c r="H128">
        <f t="shared" si="50"/>
        <v>63</v>
      </c>
      <c r="I128" s="26">
        <f t="shared" si="53"/>
        <v>1.1532125205930808E-2</v>
      </c>
      <c r="K128">
        <v>21</v>
      </c>
      <c r="L128">
        <v>12</v>
      </c>
      <c r="M128">
        <v>10</v>
      </c>
      <c r="N128">
        <f>SUM(K128:M128)</f>
        <v>43</v>
      </c>
      <c r="O128" s="26">
        <f t="shared" si="54"/>
        <v>1.020408163265306E-2</v>
      </c>
      <c r="Q128">
        <v>16</v>
      </c>
      <c r="R128">
        <v>5</v>
      </c>
      <c r="S128">
        <v>12</v>
      </c>
      <c r="T128">
        <f>SUM(Q128:S128)</f>
        <v>33</v>
      </c>
      <c r="U128" s="26">
        <f t="shared" si="55"/>
        <v>7.6708507670850768E-3</v>
      </c>
      <c r="W128">
        <v>14</v>
      </c>
      <c r="X128">
        <v>7</v>
      </c>
      <c r="Y128">
        <v>24</v>
      </c>
      <c r="Z128">
        <f t="shared" si="56"/>
        <v>45</v>
      </c>
      <c r="AA128" s="26">
        <f t="shared" si="57"/>
        <v>8.1982146110402623E-3</v>
      </c>
    </row>
    <row r="129" spans="1:27">
      <c r="A129" t="s">
        <v>64</v>
      </c>
      <c r="B129">
        <f t="shared" si="51"/>
        <v>414</v>
      </c>
      <c r="C129" s="26">
        <f t="shared" si="52"/>
        <v>2.1265666735155127E-2</v>
      </c>
      <c r="E129">
        <v>41</v>
      </c>
      <c r="F129">
        <v>33</v>
      </c>
      <c r="G129">
        <v>43</v>
      </c>
      <c r="H129">
        <f t="shared" si="50"/>
        <v>117</v>
      </c>
      <c r="I129" s="26">
        <f t="shared" si="53"/>
        <v>2.1416803953871501E-2</v>
      </c>
      <c r="K129">
        <v>43</v>
      </c>
      <c r="L129">
        <v>20</v>
      </c>
      <c r="M129">
        <v>47</v>
      </c>
      <c r="N129">
        <f t="shared" ref="N129:N135" si="58">SUM(K129:M129)</f>
        <v>110</v>
      </c>
      <c r="O129" s="26">
        <f t="shared" si="54"/>
        <v>2.6103464641670623E-2</v>
      </c>
      <c r="Q129">
        <v>31</v>
      </c>
      <c r="R129">
        <v>34</v>
      </c>
      <c r="S129">
        <v>28</v>
      </c>
      <c r="T129">
        <f t="shared" ref="T129:T135" si="59">SUM(Q129:S129)</f>
        <v>93</v>
      </c>
      <c r="U129" s="26">
        <f t="shared" si="55"/>
        <v>2.1617852161785217E-2</v>
      </c>
      <c r="W129">
        <v>25</v>
      </c>
      <c r="X129">
        <v>44</v>
      </c>
      <c r="Y129">
        <v>25</v>
      </c>
      <c r="Z129">
        <f t="shared" si="56"/>
        <v>94</v>
      </c>
      <c r="AA129" s="26">
        <f t="shared" si="57"/>
        <v>1.7125159409728547E-2</v>
      </c>
    </row>
    <row r="130" spans="1:27">
      <c r="A130" t="s">
        <v>65</v>
      </c>
      <c r="B130">
        <f t="shared" si="51"/>
        <v>503</v>
      </c>
      <c r="C130" s="26">
        <f t="shared" si="52"/>
        <v>2.5837271419765769E-2</v>
      </c>
      <c r="E130">
        <v>14</v>
      </c>
      <c r="F130">
        <v>42</v>
      </c>
      <c r="G130">
        <v>37</v>
      </c>
      <c r="H130">
        <f t="shared" si="50"/>
        <v>93</v>
      </c>
      <c r="I130" s="26">
        <f t="shared" si="53"/>
        <v>1.7023613399231193E-2</v>
      </c>
      <c r="K130">
        <v>46</v>
      </c>
      <c r="L130">
        <v>44</v>
      </c>
      <c r="M130">
        <v>45</v>
      </c>
      <c r="N130">
        <f t="shared" si="58"/>
        <v>135</v>
      </c>
      <c r="O130" s="26">
        <f t="shared" si="54"/>
        <v>3.203607024205031E-2</v>
      </c>
      <c r="Q130">
        <v>64</v>
      </c>
      <c r="R130">
        <v>48</v>
      </c>
      <c r="S130">
        <v>28</v>
      </c>
      <c r="T130">
        <f t="shared" si="59"/>
        <v>140</v>
      </c>
      <c r="U130" s="26">
        <f t="shared" si="55"/>
        <v>3.2543003254300325E-2</v>
      </c>
      <c r="W130">
        <v>39</v>
      </c>
      <c r="X130">
        <v>44</v>
      </c>
      <c r="Y130">
        <v>52</v>
      </c>
      <c r="Z130">
        <f t="shared" si="56"/>
        <v>135</v>
      </c>
      <c r="AA130" s="26">
        <f t="shared" si="57"/>
        <v>2.4594643833120787E-2</v>
      </c>
    </row>
    <row r="131" spans="1:27">
      <c r="A131" t="s">
        <v>66</v>
      </c>
      <c r="B131">
        <f t="shared" si="51"/>
        <v>6768</v>
      </c>
      <c r="C131" s="26">
        <f t="shared" si="52"/>
        <v>0.34764742140949251</v>
      </c>
      <c r="E131">
        <v>726</v>
      </c>
      <c r="F131">
        <v>528</v>
      </c>
      <c r="G131">
        <v>481</v>
      </c>
      <c r="H131">
        <f t="shared" si="50"/>
        <v>1735</v>
      </c>
      <c r="I131" s="26">
        <f t="shared" si="53"/>
        <v>0.31759106717920554</v>
      </c>
      <c r="K131">
        <v>410</v>
      </c>
      <c r="L131">
        <v>552</v>
      </c>
      <c r="M131">
        <v>427</v>
      </c>
      <c r="N131">
        <f t="shared" si="58"/>
        <v>1389</v>
      </c>
      <c r="O131" s="26">
        <f t="shared" si="54"/>
        <v>0.32961556715709539</v>
      </c>
      <c r="Q131">
        <v>451</v>
      </c>
      <c r="R131">
        <v>459</v>
      </c>
      <c r="S131">
        <v>547</v>
      </c>
      <c r="T131">
        <f t="shared" si="59"/>
        <v>1457</v>
      </c>
      <c r="U131" s="26">
        <f t="shared" si="55"/>
        <v>0.33867968386796837</v>
      </c>
      <c r="W131">
        <v>704</v>
      </c>
      <c r="X131">
        <v>722</v>
      </c>
      <c r="Y131">
        <v>761</v>
      </c>
      <c r="Z131">
        <f t="shared" si="56"/>
        <v>2187</v>
      </c>
      <c r="AA131" s="26">
        <f t="shared" si="57"/>
        <v>0.39843323009655673</v>
      </c>
    </row>
    <row r="132" spans="1:27">
      <c r="A132" t="s">
        <v>89</v>
      </c>
      <c r="B132">
        <f t="shared" si="51"/>
        <v>138</v>
      </c>
      <c r="C132" s="26">
        <f t="shared" si="52"/>
        <v>7.088555578385042E-3</v>
      </c>
      <c r="E132">
        <v>1</v>
      </c>
      <c r="F132">
        <v>11</v>
      </c>
      <c r="G132">
        <v>6</v>
      </c>
      <c r="H132">
        <f t="shared" si="50"/>
        <v>18</v>
      </c>
      <c r="I132" s="26">
        <f t="shared" si="53"/>
        <v>3.2948929159802307E-3</v>
      </c>
      <c r="K132">
        <v>38</v>
      </c>
      <c r="L132">
        <v>22</v>
      </c>
      <c r="M132">
        <v>11</v>
      </c>
      <c r="N132">
        <f t="shared" si="58"/>
        <v>71</v>
      </c>
      <c r="O132" s="26">
        <f t="shared" si="54"/>
        <v>1.684859990507831E-2</v>
      </c>
      <c r="Q132">
        <v>12</v>
      </c>
      <c r="R132">
        <v>9</v>
      </c>
      <c r="S132">
        <v>5</v>
      </c>
      <c r="T132">
        <f t="shared" si="59"/>
        <v>26</v>
      </c>
      <c r="U132" s="26">
        <f t="shared" si="55"/>
        <v>6.04370060437006E-3</v>
      </c>
      <c r="W132">
        <v>14</v>
      </c>
      <c r="X132">
        <v>6</v>
      </c>
      <c r="Y132">
        <v>3</v>
      </c>
      <c r="Z132">
        <f t="shared" si="56"/>
        <v>23</v>
      </c>
      <c r="AA132" s="26">
        <f t="shared" si="57"/>
        <v>4.1901985789761344E-3</v>
      </c>
    </row>
    <row r="133" spans="1:27">
      <c r="A133" t="s">
        <v>67</v>
      </c>
      <c r="B133">
        <f t="shared" si="51"/>
        <v>1519</v>
      </c>
      <c r="C133" s="26">
        <f t="shared" si="52"/>
        <v>7.8025477707006366E-2</v>
      </c>
      <c r="E133">
        <v>176</v>
      </c>
      <c r="F133">
        <v>132</v>
      </c>
      <c r="G133">
        <v>109</v>
      </c>
      <c r="H133">
        <f t="shared" si="50"/>
        <v>417</v>
      </c>
      <c r="I133" s="26">
        <f t="shared" si="53"/>
        <v>7.6331685886875347E-2</v>
      </c>
      <c r="K133">
        <v>110</v>
      </c>
      <c r="L133">
        <v>117</v>
      </c>
      <c r="M133">
        <v>111</v>
      </c>
      <c r="N133">
        <f t="shared" si="58"/>
        <v>338</v>
      </c>
      <c r="O133" s="26">
        <f t="shared" si="54"/>
        <v>8.0208827717133363E-2</v>
      </c>
      <c r="Q133">
        <v>150</v>
      </c>
      <c r="R133">
        <v>100</v>
      </c>
      <c r="S133">
        <v>122</v>
      </c>
      <c r="T133">
        <f t="shared" si="59"/>
        <v>372</v>
      </c>
      <c r="U133" s="26">
        <f t="shared" si="55"/>
        <v>8.6471408647140868E-2</v>
      </c>
      <c r="W133">
        <v>135</v>
      </c>
      <c r="X133">
        <v>144</v>
      </c>
      <c r="Y133">
        <v>113</v>
      </c>
      <c r="Z133">
        <f t="shared" si="56"/>
        <v>392</v>
      </c>
      <c r="AA133" s="26">
        <f t="shared" si="57"/>
        <v>7.1415558389506278E-2</v>
      </c>
    </row>
    <row r="134" spans="1:27">
      <c r="A134" t="s">
        <v>90</v>
      </c>
      <c r="B134">
        <f t="shared" si="51"/>
        <v>8</v>
      </c>
      <c r="C134" s="26">
        <f t="shared" si="52"/>
        <v>4.1093075816724881E-4</v>
      </c>
      <c r="E134">
        <v>0</v>
      </c>
      <c r="F134">
        <v>0</v>
      </c>
      <c r="G134">
        <v>0</v>
      </c>
      <c r="H134">
        <f t="shared" si="50"/>
        <v>0</v>
      </c>
      <c r="I134" s="26">
        <f t="shared" si="53"/>
        <v>0</v>
      </c>
      <c r="K134">
        <v>0</v>
      </c>
      <c r="L134">
        <v>1</v>
      </c>
      <c r="M134">
        <v>0</v>
      </c>
      <c r="N134">
        <f t="shared" si="58"/>
        <v>1</v>
      </c>
      <c r="O134" s="26">
        <f t="shared" si="54"/>
        <v>2.3730422401518748E-4</v>
      </c>
      <c r="Q134">
        <v>0</v>
      </c>
      <c r="R134">
        <v>0</v>
      </c>
      <c r="S134">
        <v>1</v>
      </c>
      <c r="T134">
        <f t="shared" si="59"/>
        <v>1</v>
      </c>
      <c r="U134" s="26">
        <f t="shared" si="55"/>
        <v>2.3245002324500232E-4</v>
      </c>
      <c r="W134">
        <v>1</v>
      </c>
      <c r="X134">
        <v>0</v>
      </c>
      <c r="Y134">
        <v>5</v>
      </c>
      <c r="Z134">
        <f t="shared" si="56"/>
        <v>6</v>
      </c>
      <c r="AA134" s="26">
        <f t="shared" si="57"/>
        <v>1.093095281472035E-3</v>
      </c>
    </row>
    <row r="135" spans="1:27">
      <c r="A135" t="s">
        <v>69</v>
      </c>
      <c r="B135">
        <f t="shared" si="51"/>
        <v>588</v>
      </c>
      <c r="C135" s="26">
        <f t="shared" si="52"/>
        <v>3.0203410725292788E-2</v>
      </c>
      <c r="E135">
        <v>56</v>
      </c>
      <c r="F135">
        <v>50</v>
      </c>
      <c r="G135">
        <v>45</v>
      </c>
      <c r="H135">
        <f t="shared" si="50"/>
        <v>151</v>
      </c>
      <c r="I135" s="26">
        <f t="shared" si="53"/>
        <v>2.7640490572945268E-2</v>
      </c>
      <c r="K135">
        <v>57</v>
      </c>
      <c r="L135">
        <v>16</v>
      </c>
      <c r="M135">
        <v>51</v>
      </c>
      <c r="N135">
        <f t="shared" si="58"/>
        <v>124</v>
      </c>
      <c r="O135" s="26">
        <f t="shared" si="54"/>
        <v>2.9425723777883245E-2</v>
      </c>
      <c r="Q135">
        <v>35</v>
      </c>
      <c r="R135">
        <v>40</v>
      </c>
      <c r="S135">
        <v>61</v>
      </c>
      <c r="T135">
        <f t="shared" si="59"/>
        <v>136</v>
      </c>
      <c r="U135" s="26">
        <f t="shared" si="55"/>
        <v>3.1613203161320318E-2</v>
      </c>
      <c r="W135">
        <v>60</v>
      </c>
      <c r="X135">
        <v>83</v>
      </c>
      <c r="Y135">
        <v>34</v>
      </c>
      <c r="Z135">
        <f t="shared" si="56"/>
        <v>177</v>
      </c>
      <c r="AA135" s="26">
        <f t="shared" si="57"/>
        <v>3.2246310803425035E-2</v>
      </c>
    </row>
    <row r="136" spans="1:27">
      <c r="A136" t="s">
        <v>70</v>
      </c>
      <c r="B136">
        <f t="shared" si="51"/>
        <v>0</v>
      </c>
      <c r="C136" s="26">
        <f t="shared" si="52"/>
        <v>0</v>
      </c>
      <c r="I136" s="26"/>
      <c r="O136" s="26"/>
      <c r="U136" s="26"/>
    </row>
    <row r="137" spans="1:27">
      <c r="A137" s="13"/>
      <c r="B137">
        <f t="shared" si="51"/>
        <v>19468</v>
      </c>
      <c r="C137" s="26">
        <f>B137/B$137</f>
        <v>1</v>
      </c>
      <c r="E137">
        <f>SUM(E124:E135)</f>
        <v>2197</v>
      </c>
      <c r="F137">
        <f>SUM(F124:F135)</f>
        <v>1738</v>
      </c>
      <c r="G137">
        <f>SUM(G124:G135)</f>
        <v>1528</v>
      </c>
      <c r="H137">
        <f>SUM(H124:H135)</f>
        <v>5463</v>
      </c>
      <c r="I137" s="26">
        <f>SUM(I124:I136)</f>
        <v>1</v>
      </c>
      <c r="K137">
        <f>SUM(K124:K135)</f>
        <v>1458</v>
      </c>
      <c r="L137">
        <f>SUM(L124:L135)</f>
        <v>1528</v>
      </c>
      <c r="M137">
        <f>SUM(M124:M135)</f>
        <v>1228</v>
      </c>
      <c r="N137">
        <f>SUM(N124:N135)</f>
        <v>4214</v>
      </c>
      <c r="O137" s="26">
        <f>SUM(O124:O136)</f>
        <v>1</v>
      </c>
      <c r="Q137">
        <f>SUM(Q124:Q135)</f>
        <v>1383</v>
      </c>
      <c r="R137">
        <f>SUM(R124:R135)</f>
        <v>1420</v>
      </c>
      <c r="S137">
        <f>SUM(S124:S135)</f>
        <v>1499</v>
      </c>
      <c r="T137">
        <f>SUM(T124:T135)</f>
        <v>4302</v>
      </c>
      <c r="U137" s="26">
        <f>SUM(U124:U135)</f>
        <v>1.0000000000000002</v>
      </c>
      <c r="W137">
        <f>SUM(W124:W135)</f>
        <v>1763</v>
      </c>
      <c r="X137">
        <f>SUM(X124:X135)</f>
        <v>1928</v>
      </c>
      <c r="Y137">
        <f>SUM(Y124:Y135)</f>
        <v>1798</v>
      </c>
      <c r="Z137">
        <f>SUM(Z124:Z136)</f>
        <v>5489</v>
      </c>
      <c r="AA137" s="26">
        <f>SUM(AA124:AA136)</f>
        <v>1</v>
      </c>
    </row>
    <row r="138" spans="1:27">
      <c r="A138" t="s">
        <v>92</v>
      </c>
      <c r="C138" s="26"/>
      <c r="D138" s="26">
        <f>SUM(C124:C135)</f>
        <v>1.0000000000000002</v>
      </c>
      <c r="E138" s="3">
        <f>'Monthly Stats'!$M91</f>
        <v>2197</v>
      </c>
      <c r="F138" s="3">
        <f>'Monthly Stats'!$M92</f>
        <v>1738</v>
      </c>
      <c r="G138" s="3">
        <f>'Monthly Stats'!$M93</f>
        <v>1528</v>
      </c>
      <c r="H138" s="3"/>
      <c r="I138" s="3"/>
      <c r="J138" s="3"/>
      <c r="K138" s="3">
        <f>'Monthly Stats'!$M94</f>
        <v>1458</v>
      </c>
      <c r="L138" s="3">
        <f>'Monthly Stats'!$M95</f>
        <v>1528</v>
      </c>
      <c r="M138" s="3">
        <f>'Monthly Stats'!$M96</f>
        <v>1228</v>
      </c>
      <c r="N138" s="3"/>
      <c r="O138" s="3"/>
      <c r="P138" s="3"/>
      <c r="Q138" s="3">
        <f>'Monthly Stats'!$M97</f>
        <v>1383</v>
      </c>
      <c r="R138" s="3">
        <f>'Monthly Stats'!$M98</f>
        <v>1420</v>
      </c>
      <c r="S138" s="3">
        <f>'Monthly Stats'!$M99</f>
        <v>1503</v>
      </c>
      <c r="U138" s="26"/>
      <c r="W138" s="3">
        <f>'Monthly Stats'!$M100</f>
        <v>1754</v>
      </c>
      <c r="X138" s="3">
        <f>'Monthly Stats'!$M101</f>
        <v>1935</v>
      </c>
      <c r="Y138" s="3">
        <f>'Monthly Stats'!$M102</f>
        <v>1798</v>
      </c>
      <c r="AA138" s="26"/>
    </row>
    <row r="139" spans="1:27">
      <c r="A139" s="28"/>
    </row>
    <row r="140" spans="1:27">
      <c r="A140" s="28">
        <v>2020</v>
      </c>
      <c r="B140" s="102" t="s">
        <v>81</v>
      </c>
      <c r="C140" s="102"/>
      <c r="E140" s="1">
        <v>43831</v>
      </c>
      <c r="F140" s="1">
        <v>43862</v>
      </c>
      <c r="G140" s="1">
        <v>43891</v>
      </c>
      <c r="H140" s="102" t="s">
        <v>82</v>
      </c>
      <c r="I140" s="102"/>
      <c r="K140" s="1">
        <v>43922</v>
      </c>
      <c r="L140" s="1">
        <v>43952</v>
      </c>
      <c r="M140" s="1">
        <v>43983</v>
      </c>
      <c r="N140" s="102" t="s">
        <v>83</v>
      </c>
      <c r="O140" s="102"/>
      <c r="Q140" s="1">
        <v>44013</v>
      </c>
      <c r="R140" s="1">
        <v>44044</v>
      </c>
      <c r="S140" s="1">
        <v>44075</v>
      </c>
      <c r="T140" s="102" t="s">
        <v>84</v>
      </c>
      <c r="U140" s="102"/>
      <c r="W140" s="1">
        <v>44105</v>
      </c>
      <c r="X140" s="1">
        <v>44136</v>
      </c>
      <c r="Y140" s="1">
        <v>44166</v>
      </c>
      <c r="Z140" s="102" t="s">
        <v>85</v>
      </c>
      <c r="AA140" s="102"/>
    </row>
    <row r="142" spans="1:27">
      <c r="A142" t="s">
        <v>59</v>
      </c>
      <c r="B142">
        <f>H142+N142+T142+Z142</f>
        <v>1146</v>
      </c>
      <c r="C142" s="26">
        <f>B142/B$155</f>
        <v>9.4977623073097955E-2</v>
      </c>
      <c r="E142">
        <v>266</v>
      </c>
      <c r="F142">
        <v>145</v>
      </c>
      <c r="H142">
        <f>SUM(E142:G142)</f>
        <v>411</v>
      </c>
      <c r="I142" s="26">
        <f t="shared" ref="I142:I154" si="60">H142/H$155</f>
        <v>0.13922764227642276</v>
      </c>
      <c r="K142">
        <v>169</v>
      </c>
      <c r="L142">
        <v>62</v>
      </c>
      <c r="M142">
        <v>60</v>
      </c>
      <c r="N142">
        <f>SUM(K142:M142)</f>
        <v>291</v>
      </c>
      <c r="O142" s="26">
        <f t="shared" ref="O142:O154" si="61">N142/N$155</f>
        <v>7.2932330827067668E-2</v>
      </c>
      <c r="Q142" s="79">
        <v>50</v>
      </c>
      <c r="R142">
        <v>43</v>
      </c>
      <c r="S142">
        <v>70</v>
      </c>
      <c r="T142">
        <f>SUM(Q142:S142)</f>
        <v>163</v>
      </c>
      <c r="U142" s="26">
        <f t="shared" ref="U142:U154" si="62">T142/T$155</f>
        <v>8.1459270364817593E-2</v>
      </c>
      <c r="W142">
        <v>91</v>
      </c>
      <c r="X142">
        <v>90</v>
      </c>
      <c r="Y142">
        <v>100</v>
      </c>
      <c r="Z142">
        <f>SUM(W142:Y142)</f>
        <v>281</v>
      </c>
      <c r="AA142" s="26">
        <f>Z142/$H$137</f>
        <v>5.1436939410580265E-2</v>
      </c>
    </row>
    <row r="143" spans="1:27">
      <c r="A143" t="s">
        <v>60</v>
      </c>
      <c r="B143">
        <f t="shared" ref="B143:B155" si="63">H143+N143+T143+Z143</f>
        <v>990</v>
      </c>
      <c r="C143" s="26">
        <f t="shared" ref="C143:C155" si="64">B143/B$155</f>
        <v>8.2048731974142211E-2</v>
      </c>
      <c r="E143">
        <v>194</v>
      </c>
      <c r="F143">
        <v>138</v>
      </c>
      <c r="H143">
        <f t="shared" ref="H143:H154" si="65">SUM(E143:G143)</f>
        <v>332</v>
      </c>
      <c r="I143" s="26">
        <f t="shared" si="60"/>
        <v>0.11246612466124661</v>
      </c>
      <c r="K143">
        <v>222</v>
      </c>
      <c r="L143">
        <v>94</v>
      </c>
      <c r="M143">
        <v>52</v>
      </c>
      <c r="N143">
        <f t="shared" ref="N143:N154" si="66">SUM(K143:M143)</f>
        <v>368</v>
      </c>
      <c r="O143" s="26">
        <f t="shared" si="61"/>
        <v>9.223057644110276E-2</v>
      </c>
      <c r="Q143" s="79">
        <v>43</v>
      </c>
      <c r="R143">
        <v>29</v>
      </c>
      <c r="S143">
        <v>39</v>
      </c>
      <c r="T143">
        <f t="shared" ref="T143:T154" si="67">SUM(Q143:S143)</f>
        <v>111</v>
      </c>
      <c r="U143" s="26">
        <f t="shared" si="62"/>
        <v>5.5472263868065967E-2</v>
      </c>
      <c r="W143">
        <v>50</v>
      </c>
      <c r="X143">
        <v>66</v>
      </c>
      <c r="Y143">
        <v>63</v>
      </c>
      <c r="Z143">
        <f t="shared" ref="Z143:Z154" si="68">SUM(W143:Y143)</f>
        <v>179</v>
      </c>
      <c r="AA143" s="26">
        <f t="shared" ref="AA143:AA154" si="69">Z143/$H$137</f>
        <v>3.2765879553358961E-2</v>
      </c>
    </row>
    <row r="144" spans="1:27">
      <c r="A144" t="s">
        <v>61</v>
      </c>
      <c r="B144">
        <f t="shared" si="63"/>
        <v>85</v>
      </c>
      <c r="C144" s="26">
        <f t="shared" si="64"/>
        <v>7.0445880987899884E-3</v>
      </c>
      <c r="E144">
        <v>8</v>
      </c>
      <c r="F144">
        <v>2</v>
      </c>
      <c r="H144">
        <f t="shared" si="65"/>
        <v>10</v>
      </c>
      <c r="I144" s="26">
        <f t="shared" si="60"/>
        <v>3.3875338753387536E-3</v>
      </c>
      <c r="K144">
        <v>38</v>
      </c>
      <c r="L144">
        <v>26</v>
      </c>
      <c r="M144">
        <v>0</v>
      </c>
      <c r="N144">
        <f t="shared" si="66"/>
        <v>64</v>
      </c>
      <c r="O144" s="26">
        <f t="shared" si="61"/>
        <v>1.6040100250626566E-2</v>
      </c>
      <c r="Q144" s="79">
        <v>3</v>
      </c>
      <c r="R144">
        <v>8</v>
      </c>
      <c r="S144">
        <v>0</v>
      </c>
      <c r="T144">
        <f t="shared" si="67"/>
        <v>11</v>
      </c>
      <c r="U144" s="26">
        <f t="shared" si="62"/>
        <v>5.4972513743128436E-3</v>
      </c>
      <c r="W144">
        <v>0</v>
      </c>
      <c r="X144">
        <v>0</v>
      </c>
      <c r="Y144">
        <v>0</v>
      </c>
      <c r="Z144">
        <f t="shared" si="68"/>
        <v>0</v>
      </c>
      <c r="AA144" s="26">
        <f t="shared" si="69"/>
        <v>0</v>
      </c>
    </row>
    <row r="145" spans="1:27">
      <c r="A145" t="s">
        <v>62</v>
      </c>
      <c r="B145">
        <f t="shared" si="63"/>
        <v>1274</v>
      </c>
      <c r="C145" s="26">
        <f t="shared" si="64"/>
        <v>0.10558594397480524</v>
      </c>
      <c r="E145">
        <v>222</v>
      </c>
      <c r="F145">
        <v>176</v>
      </c>
      <c r="H145">
        <f t="shared" si="65"/>
        <v>398</v>
      </c>
      <c r="I145" s="26">
        <f t="shared" si="60"/>
        <v>0.1348238482384824</v>
      </c>
      <c r="K145">
        <v>78</v>
      </c>
      <c r="L145">
        <v>56</v>
      </c>
      <c r="M145">
        <v>82</v>
      </c>
      <c r="N145">
        <f t="shared" si="66"/>
        <v>216</v>
      </c>
      <c r="O145" s="26">
        <f t="shared" si="61"/>
        <v>5.4135338345864661E-2</v>
      </c>
      <c r="Q145" s="79">
        <v>42</v>
      </c>
      <c r="R145">
        <v>124</v>
      </c>
      <c r="S145">
        <v>109</v>
      </c>
      <c r="T145">
        <f t="shared" si="67"/>
        <v>275</v>
      </c>
      <c r="U145" s="26">
        <f t="shared" si="62"/>
        <v>0.13743128435782109</v>
      </c>
      <c r="W145">
        <v>132</v>
      </c>
      <c r="X145">
        <v>138</v>
      </c>
      <c r="Y145">
        <v>115</v>
      </c>
      <c r="Z145">
        <f t="shared" si="68"/>
        <v>385</v>
      </c>
      <c r="AA145" s="26">
        <f t="shared" si="69"/>
        <v>7.0474098480688266E-2</v>
      </c>
    </row>
    <row r="146" spans="1:27">
      <c r="A146" t="s">
        <v>63</v>
      </c>
      <c r="B146">
        <f t="shared" si="63"/>
        <v>70</v>
      </c>
      <c r="C146" s="26">
        <f t="shared" si="64"/>
        <v>5.801425493121167E-3</v>
      </c>
      <c r="E146">
        <v>11</v>
      </c>
      <c r="F146">
        <v>23</v>
      </c>
      <c r="H146">
        <f t="shared" si="65"/>
        <v>34</v>
      </c>
      <c r="I146" s="26">
        <f t="shared" si="60"/>
        <v>1.1517615176151762E-2</v>
      </c>
      <c r="K146">
        <v>11</v>
      </c>
      <c r="L146">
        <v>6</v>
      </c>
      <c r="M146">
        <v>4</v>
      </c>
      <c r="N146">
        <f t="shared" si="66"/>
        <v>21</v>
      </c>
      <c r="O146" s="26">
        <f t="shared" si="61"/>
        <v>5.263157894736842E-3</v>
      </c>
      <c r="Q146" s="79">
        <v>1</v>
      </c>
      <c r="R146">
        <v>7</v>
      </c>
      <c r="S146">
        <v>0</v>
      </c>
      <c r="T146">
        <f t="shared" si="67"/>
        <v>8</v>
      </c>
      <c r="U146" s="26">
        <f t="shared" si="62"/>
        <v>3.9980009995002497E-3</v>
      </c>
      <c r="W146">
        <v>1</v>
      </c>
      <c r="X146">
        <v>1</v>
      </c>
      <c r="Y146">
        <v>5</v>
      </c>
      <c r="Z146">
        <f t="shared" si="68"/>
        <v>7</v>
      </c>
      <c r="AA146" s="26">
        <f t="shared" si="69"/>
        <v>1.281347245103423E-3</v>
      </c>
    </row>
    <row r="147" spans="1:27">
      <c r="A147" t="s">
        <v>64</v>
      </c>
      <c r="B147">
        <f t="shared" si="63"/>
        <v>184</v>
      </c>
      <c r="C147" s="26">
        <f t="shared" si="64"/>
        <v>1.5249461296204209E-2</v>
      </c>
      <c r="E147">
        <v>33</v>
      </c>
      <c r="F147">
        <v>19</v>
      </c>
      <c r="H147">
        <f t="shared" si="65"/>
        <v>52</v>
      </c>
      <c r="I147" s="26">
        <f t="shared" si="60"/>
        <v>1.7615176151761516E-2</v>
      </c>
      <c r="K147">
        <v>22</v>
      </c>
      <c r="L147">
        <v>15</v>
      </c>
      <c r="M147">
        <v>12</v>
      </c>
      <c r="N147">
        <f t="shared" si="66"/>
        <v>49</v>
      </c>
      <c r="O147" s="26">
        <f t="shared" si="61"/>
        <v>1.2280701754385965E-2</v>
      </c>
      <c r="Q147" s="79">
        <v>19</v>
      </c>
      <c r="R147">
        <v>9</v>
      </c>
      <c r="S147">
        <v>5</v>
      </c>
      <c r="T147">
        <f t="shared" si="67"/>
        <v>33</v>
      </c>
      <c r="U147" s="26">
        <f t="shared" si="62"/>
        <v>1.6491754122938532E-2</v>
      </c>
      <c r="W147">
        <v>17</v>
      </c>
      <c r="X147">
        <v>20</v>
      </c>
      <c r="Y147">
        <v>13</v>
      </c>
      <c r="Z147">
        <f t="shared" si="68"/>
        <v>50</v>
      </c>
      <c r="AA147" s="26">
        <f t="shared" si="69"/>
        <v>9.1524803221673078E-3</v>
      </c>
    </row>
    <row r="148" spans="1:27">
      <c r="A148" t="s">
        <v>65</v>
      </c>
      <c r="B148">
        <f t="shared" si="63"/>
        <v>230</v>
      </c>
      <c r="C148" s="26">
        <f t="shared" si="64"/>
        <v>1.9061826620255264E-2</v>
      </c>
      <c r="E148">
        <v>32</v>
      </c>
      <c r="F148">
        <v>24</v>
      </c>
      <c r="H148">
        <f t="shared" si="65"/>
        <v>56</v>
      </c>
      <c r="I148" s="26">
        <f t="shared" si="60"/>
        <v>1.8970189701897018E-2</v>
      </c>
      <c r="K148">
        <v>21</v>
      </c>
      <c r="L148">
        <v>10</v>
      </c>
      <c r="M148">
        <v>25</v>
      </c>
      <c r="N148">
        <f t="shared" si="66"/>
        <v>56</v>
      </c>
      <c r="O148" s="26">
        <f t="shared" si="61"/>
        <v>1.4035087719298246E-2</v>
      </c>
      <c r="Q148" s="79">
        <v>18</v>
      </c>
      <c r="R148">
        <v>18</v>
      </c>
      <c r="S148">
        <v>24</v>
      </c>
      <c r="T148">
        <f t="shared" si="67"/>
        <v>60</v>
      </c>
      <c r="U148" s="26">
        <f t="shared" si="62"/>
        <v>2.9985007496251874E-2</v>
      </c>
      <c r="W148">
        <v>29</v>
      </c>
      <c r="X148">
        <v>14</v>
      </c>
      <c r="Y148">
        <v>15</v>
      </c>
      <c r="Z148">
        <f t="shared" si="68"/>
        <v>58</v>
      </c>
      <c r="AA148" s="26">
        <f t="shared" si="69"/>
        <v>1.0616877173714076E-2</v>
      </c>
    </row>
    <row r="149" spans="1:27">
      <c r="A149" t="s">
        <v>66</v>
      </c>
      <c r="B149">
        <f t="shared" si="63"/>
        <v>5331</v>
      </c>
      <c r="C149" s="26">
        <f t="shared" si="64"/>
        <v>0.44181999005469913</v>
      </c>
      <c r="E149">
        <v>748</v>
      </c>
      <c r="F149">
        <v>544</v>
      </c>
      <c r="H149">
        <f t="shared" si="65"/>
        <v>1292</v>
      </c>
      <c r="I149" s="26">
        <f t="shared" si="60"/>
        <v>0.43766937669376693</v>
      </c>
      <c r="K149">
        <v>875</v>
      </c>
      <c r="L149">
        <v>699</v>
      </c>
      <c r="M149">
        <v>437</v>
      </c>
      <c r="N149">
        <f t="shared" si="66"/>
        <v>2011</v>
      </c>
      <c r="O149" s="26">
        <f t="shared" si="61"/>
        <v>0.50401002506265669</v>
      </c>
      <c r="Q149" s="79">
        <v>244</v>
      </c>
      <c r="R149">
        <v>225</v>
      </c>
      <c r="S149">
        <v>340</v>
      </c>
      <c r="T149">
        <f t="shared" si="67"/>
        <v>809</v>
      </c>
      <c r="U149" s="26">
        <f t="shared" si="62"/>
        <v>0.40429785107446276</v>
      </c>
      <c r="W149">
        <v>294</v>
      </c>
      <c r="X149">
        <v>426</v>
      </c>
      <c r="Y149">
        <v>499</v>
      </c>
      <c r="Z149">
        <f t="shared" si="68"/>
        <v>1219</v>
      </c>
      <c r="AA149" s="26">
        <f t="shared" si="69"/>
        <v>0.22313747025443895</v>
      </c>
    </row>
    <row r="150" spans="1:27">
      <c r="A150" t="s">
        <v>89</v>
      </c>
      <c r="B150">
        <f t="shared" si="63"/>
        <v>42</v>
      </c>
      <c r="C150" s="26">
        <f t="shared" si="64"/>
        <v>3.4808552958727002E-3</v>
      </c>
      <c r="E150">
        <v>7</v>
      </c>
      <c r="F150">
        <v>0</v>
      </c>
      <c r="H150">
        <f t="shared" si="65"/>
        <v>7</v>
      </c>
      <c r="I150" s="26">
        <f t="shared" si="60"/>
        <v>2.3712737127371273E-3</v>
      </c>
      <c r="K150">
        <v>1</v>
      </c>
      <c r="L150">
        <v>14</v>
      </c>
      <c r="M150">
        <v>8</v>
      </c>
      <c r="N150">
        <f t="shared" si="66"/>
        <v>23</v>
      </c>
      <c r="O150" s="26">
        <f t="shared" si="61"/>
        <v>5.7644110275689225E-3</v>
      </c>
      <c r="Q150" s="79">
        <v>0</v>
      </c>
      <c r="R150">
        <v>1</v>
      </c>
      <c r="S150">
        <v>1</v>
      </c>
      <c r="T150">
        <f t="shared" si="67"/>
        <v>2</v>
      </c>
      <c r="U150" s="26">
        <f t="shared" si="62"/>
        <v>9.9950024987506244E-4</v>
      </c>
      <c r="W150">
        <v>0</v>
      </c>
      <c r="X150">
        <v>7</v>
      </c>
      <c r="Y150">
        <v>3</v>
      </c>
      <c r="Z150">
        <f t="shared" si="68"/>
        <v>10</v>
      </c>
      <c r="AA150" s="26">
        <f t="shared" si="69"/>
        <v>1.8304960644334614E-3</v>
      </c>
    </row>
    <row r="151" spans="1:27">
      <c r="A151" t="s">
        <v>67</v>
      </c>
      <c r="B151">
        <f t="shared" si="63"/>
        <v>2151</v>
      </c>
      <c r="C151" s="26">
        <f t="shared" si="64"/>
        <v>0.17826951765290899</v>
      </c>
      <c r="E151">
        <v>165</v>
      </c>
      <c r="F151">
        <v>113</v>
      </c>
      <c r="H151">
        <f t="shared" si="65"/>
        <v>278</v>
      </c>
      <c r="I151" s="26">
        <f t="shared" si="60"/>
        <v>9.4173441734417343E-2</v>
      </c>
      <c r="K151">
        <v>302</v>
      </c>
      <c r="L151">
        <v>221</v>
      </c>
      <c r="M151">
        <v>165</v>
      </c>
      <c r="N151">
        <f t="shared" si="66"/>
        <v>688</v>
      </c>
      <c r="O151" s="26">
        <f t="shared" si="61"/>
        <v>0.1724310776942356</v>
      </c>
      <c r="Q151" s="79">
        <v>110</v>
      </c>
      <c r="R151">
        <v>126</v>
      </c>
      <c r="S151">
        <v>191</v>
      </c>
      <c r="T151">
        <f t="shared" si="67"/>
        <v>427</v>
      </c>
      <c r="U151" s="26">
        <f t="shared" si="62"/>
        <v>0.21339330334832585</v>
      </c>
      <c r="W151">
        <v>230</v>
      </c>
      <c r="X151">
        <v>271</v>
      </c>
      <c r="Y151">
        <v>257</v>
      </c>
      <c r="Z151">
        <f t="shared" si="68"/>
        <v>758</v>
      </c>
      <c r="AA151" s="26">
        <f t="shared" si="69"/>
        <v>0.13875160168405637</v>
      </c>
    </row>
    <row r="152" spans="1:27">
      <c r="A152" t="s">
        <v>90</v>
      </c>
      <c r="B152">
        <f t="shared" si="63"/>
        <v>12</v>
      </c>
      <c r="C152" s="26">
        <f t="shared" si="64"/>
        <v>9.945300845350571E-4</v>
      </c>
      <c r="E152">
        <v>3</v>
      </c>
      <c r="F152">
        <v>5</v>
      </c>
      <c r="H152">
        <f t="shared" si="65"/>
        <v>8</v>
      </c>
      <c r="I152" s="26">
        <f t="shared" si="60"/>
        <v>2.7100271002710027E-3</v>
      </c>
      <c r="K152">
        <v>1</v>
      </c>
      <c r="L152">
        <v>3</v>
      </c>
      <c r="M152" s="29">
        <v>0</v>
      </c>
      <c r="N152">
        <f t="shared" si="66"/>
        <v>4</v>
      </c>
      <c r="O152" s="26">
        <f t="shared" si="61"/>
        <v>1.0025062656641604E-3</v>
      </c>
      <c r="Q152" s="79">
        <v>0</v>
      </c>
      <c r="R152">
        <v>0</v>
      </c>
      <c r="S152">
        <v>0</v>
      </c>
      <c r="T152">
        <f t="shared" si="67"/>
        <v>0</v>
      </c>
      <c r="U152" s="26">
        <f t="shared" si="62"/>
        <v>0</v>
      </c>
      <c r="W152">
        <v>0</v>
      </c>
      <c r="X152">
        <v>0</v>
      </c>
      <c r="Y152">
        <v>0</v>
      </c>
      <c r="Z152">
        <f t="shared" si="68"/>
        <v>0</v>
      </c>
      <c r="AA152" s="26">
        <f t="shared" si="69"/>
        <v>0</v>
      </c>
    </row>
    <row r="153" spans="1:27">
      <c r="A153" t="s">
        <v>69</v>
      </c>
      <c r="B153">
        <f t="shared" si="63"/>
        <v>551</v>
      </c>
      <c r="C153" s="26">
        <f t="shared" si="64"/>
        <v>4.5665506381568043E-2</v>
      </c>
      <c r="E153">
        <v>44</v>
      </c>
      <c r="F153">
        <v>30</v>
      </c>
      <c r="H153">
        <f t="shared" si="65"/>
        <v>74</v>
      </c>
      <c r="I153" s="26">
        <f t="shared" si="60"/>
        <v>2.5067750677506776E-2</v>
      </c>
      <c r="K153">
        <v>84</v>
      </c>
      <c r="L153">
        <v>62</v>
      </c>
      <c r="M153" s="29">
        <v>53</v>
      </c>
      <c r="N153">
        <f t="shared" si="66"/>
        <v>199</v>
      </c>
      <c r="O153" s="26">
        <f t="shared" si="61"/>
        <v>4.9874686716791981E-2</v>
      </c>
      <c r="Q153" s="79">
        <v>39</v>
      </c>
      <c r="R153">
        <v>24</v>
      </c>
      <c r="S153">
        <v>39</v>
      </c>
      <c r="T153">
        <f t="shared" si="67"/>
        <v>102</v>
      </c>
      <c r="U153" s="26">
        <f t="shared" si="62"/>
        <v>5.0974512743628186E-2</v>
      </c>
      <c r="W153">
        <v>54</v>
      </c>
      <c r="X153">
        <v>63</v>
      </c>
      <c r="Y153">
        <v>59</v>
      </c>
      <c r="Z153">
        <f t="shared" si="68"/>
        <v>176</v>
      </c>
      <c r="AA153" s="26">
        <f t="shared" si="69"/>
        <v>3.221673073402892E-2</v>
      </c>
    </row>
    <row r="154" spans="1:27">
      <c r="A154" t="s">
        <v>70</v>
      </c>
      <c r="B154">
        <f t="shared" si="63"/>
        <v>0</v>
      </c>
      <c r="C154" s="26">
        <f t="shared" si="64"/>
        <v>0</v>
      </c>
      <c r="E154">
        <v>0</v>
      </c>
      <c r="H154">
        <f t="shared" si="65"/>
        <v>0</v>
      </c>
      <c r="I154" s="26">
        <f t="shared" si="60"/>
        <v>0</v>
      </c>
      <c r="N154">
        <f t="shared" si="66"/>
        <v>0</v>
      </c>
      <c r="O154" s="26">
        <f t="shared" si="61"/>
        <v>0</v>
      </c>
      <c r="T154">
        <f t="shared" si="67"/>
        <v>0</v>
      </c>
      <c r="U154" s="26">
        <f t="shared" si="62"/>
        <v>0</v>
      </c>
      <c r="Z154">
        <f t="shared" si="68"/>
        <v>0</v>
      </c>
      <c r="AA154" s="26">
        <f t="shared" si="69"/>
        <v>0</v>
      </c>
    </row>
    <row r="155" spans="1:27">
      <c r="B155">
        <f t="shared" si="63"/>
        <v>12066</v>
      </c>
      <c r="C155" s="26">
        <f t="shared" si="64"/>
        <v>1</v>
      </c>
      <c r="E155">
        <f>SUM(E142:E154)</f>
        <v>1733</v>
      </c>
      <c r="F155">
        <f>SUM(F142:F154)</f>
        <v>1219</v>
      </c>
      <c r="G155">
        <f>SUM(G142:G154)</f>
        <v>0</v>
      </c>
      <c r="H155">
        <f>SUM(H142:H154)</f>
        <v>2952</v>
      </c>
      <c r="I155" s="26">
        <f>SUM(I142:I154)</f>
        <v>1</v>
      </c>
      <c r="K155">
        <f>SUM(K142:K154)</f>
        <v>1824</v>
      </c>
      <c r="L155">
        <f>SUM(L142:L154)</f>
        <v>1268</v>
      </c>
      <c r="M155">
        <f>SUM(M142:M154)</f>
        <v>898</v>
      </c>
      <c r="N155">
        <f>SUM(N142:N154)</f>
        <v>3990</v>
      </c>
      <c r="O155" s="26">
        <f>SUM(O142:O154)</f>
        <v>1.0000000000000002</v>
      </c>
      <c r="Q155" s="79">
        <f>SUM(Q142:Q154)</f>
        <v>569</v>
      </c>
      <c r="R155" s="79">
        <f>SUM(R142:R154)</f>
        <v>614</v>
      </c>
      <c r="S155" s="79">
        <f>SUM(S142:S154)</f>
        <v>818</v>
      </c>
      <c r="T155" s="79">
        <f>SUM(T142:T154)</f>
        <v>2001</v>
      </c>
      <c r="U155" s="80">
        <f>SUM(U142:U154)</f>
        <v>1</v>
      </c>
      <c r="W155">
        <f>SUM(W142:W154)</f>
        <v>898</v>
      </c>
      <c r="X155">
        <f>SUM(X142:X154)</f>
        <v>1096</v>
      </c>
      <c r="Y155">
        <f>SUM(Y142:Y154)</f>
        <v>1129</v>
      </c>
      <c r="Z155">
        <f>SUM(Z142:Z154)</f>
        <v>3123</v>
      </c>
      <c r="AA155" s="26">
        <f>SUM(AA142:AA154)</f>
        <v>0.57166392092257001</v>
      </c>
    </row>
    <row r="156" spans="1:27">
      <c r="A156" t="s">
        <v>92</v>
      </c>
      <c r="D156" s="26">
        <f>SUM(C142:C153)</f>
        <v>1</v>
      </c>
      <c r="E156" s="3">
        <f>'Monthly Stats'!$M103</f>
        <v>1741</v>
      </c>
      <c r="F156" s="3">
        <f>'Monthly Stats'!$M104</f>
        <v>1219</v>
      </c>
      <c r="G156" s="3">
        <f>'Monthly Stats'!$M105</f>
        <v>1484</v>
      </c>
      <c r="H156" s="3"/>
      <c r="I156" s="3"/>
      <c r="J156" s="3"/>
      <c r="K156" s="3">
        <f>'Monthly Stats'!$M106</f>
        <v>1826</v>
      </c>
      <c r="L156" s="3">
        <f>'Monthly Stats'!$M107</f>
        <v>1275</v>
      </c>
      <c r="M156" s="3">
        <f>'Monthly Stats'!$M108</f>
        <v>900</v>
      </c>
      <c r="N156" s="3"/>
      <c r="O156" s="3"/>
      <c r="P156" s="3"/>
      <c r="Q156" s="3">
        <f>'Monthly Stats'!$M109</f>
        <v>571</v>
      </c>
      <c r="R156" s="3">
        <f>'Monthly Stats'!$M110</f>
        <v>614</v>
      </c>
      <c r="S156" s="3">
        <f>'Monthly Stats'!$M111</f>
        <v>818</v>
      </c>
      <c r="T156" s="3"/>
      <c r="U156" s="3"/>
      <c r="V156" s="3"/>
      <c r="W156" s="3">
        <f>'Monthly Stats'!$M112</f>
        <v>891</v>
      </c>
      <c r="X156" s="3">
        <f>'Monthly Stats'!$M113</f>
        <v>1096</v>
      </c>
      <c r="Y156" s="3">
        <f>'Monthly Stats'!$M114</f>
        <v>1129</v>
      </c>
    </row>
    <row r="159" spans="1:27">
      <c r="A159" s="28">
        <v>2021</v>
      </c>
      <c r="E159" s="1">
        <v>44197</v>
      </c>
      <c r="F159" s="1">
        <v>44228</v>
      </c>
      <c r="G159" s="1">
        <v>44256</v>
      </c>
      <c r="H159" s="102" t="s">
        <v>82</v>
      </c>
      <c r="I159" s="102"/>
      <c r="K159" s="1">
        <v>44287</v>
      </c>
      <c r="L159" s="1">
        <v>44317</v>
      </c>
      <c r="M159" s="1">
        <v>44348</v>
      </c>
      <c r="N159" s="102" t="s">
        <v>83</v>
      </c>
      <c r="O159" s="102"/>
      <c r="Q159" s="1">
        <v>44378</v>
      </c>
      <c r="R159" s="1">
        <v>44409</v>
      </c>
      <c r="S159" s="1">
        <v>44440</v>
      </c>
      <c r="T159" s="102" t="s">
        <v>84</v>
      </c>
      <c r="U159" s="102"/>
      <c r="W159" s="1">
        <v>44470</v>
      </c>
      <c r="X159" s="1">
        <v>44501</v>
      </c>
      <c r="Y159" s="1">
        <v>44531</v>
      </c>
      <c r="Z159" s="102" t="s">
        <v>85</v>
      </c>
      <c r="AA159" s="102"/>
    </row>
    <row r="161" spans="1:27">
      <c r="A161" t="s">
        <v>59</v>
      </c>
      <c r="B161" s="99">
        <f>H161+N161+T161+Z161</f>
        <v>1114</v>
      </c>
      <c r="C161" s="26">
        <f>B161/B$174</f>
        <v>0.10348351137947051</v>
      </c>
      <c r="E161">
        <v>52</v>
      </c>
      <c r="F161">
        <v>59</v>
      </c>
      <c r="G161">
        <v>71</v>
      </c>
      <c r="H161">
        <f>SUM(E161:G161)</f>
        <v>182</v>
      </c>
      <c r="I161" s="26">
        <f>H161/$H$174</f>
        <v>6.3904494382022475E-2</v>
      </c>
      <c r="K161" s="94">
        <v>33</v>
      </c>
      <c r="L161" s="94">
        <v>53</v>
      </c>
      <c r="M161" s="94">
        <v>61</v>
      </c>
      <c r="N161" s="94">
        <f>SUM(K161:M161)</f>
        <v>147</v>
      </c>
      <c r="O161" s="26">
        <f>N161/$N$174</f>
        <v>6.8788020589611601E-2</v>
      </c>
      <c r="Q161" s="95">
        <v>77</v>
      </c>
      <c r="R161" s="94">
        <v>64</v>
      </c>
      <c r="S161">
        <v>100</v>
      </c>
      <c r="T161">
        <f>SUM(Q161:S161)</f>
        <v>241</v>
      </c>
      <c r="U161" s="26">
        <f>T161/$T$174</f>
        <v>0.10763733809736489</v>
      </c>
      <c r="W161">
        <v>152</v>
      </c>
      <c r="X161">
        <v>255</v>
      </c>
      <c r="Y161">
        <v>137</v>
      </c>
      <c r="Z161">
        <f>SUM(W161:Y161)</f>
        <v>544</v>
      </c>
      <c r="AA161" s="26">
        <f>Z161/$H$137</f>
        <v>9.9578985905180301E-2</v>
      </c>
    </row>
    <row r="162" spans="1:27">
      <c r="A162" t="s">
        <v>60</v>
      </c>
      <c r="B162" s="99">
        <f>H162+N162+T162+Z162</f>
        <v>699</v>
      </c>
      <c r="C162" s="26">
        <f t="shared" ref="C162:C173" si="70">B162/B$174</f>
        <v>6.4932652113330241E-2</v>
      </c>
      <c r="E162">
        <v>43</v>
      </c>
      <c r="F162">
        <v>51</v>
      </c>
      <c r="G162">
        <v>85</v>
      </c>
      <c r="H162">
        <f t="shared" ref="H162:H173" si="71">SUM(E162:G162)</f>
        <v>179</v>
      </c>
      <c r="I162" s="26">
        <f t="shared" ref="I162:I173" si="72">H162/$H$174</f>
        <v>6.2851123595505612E-2</v>
      </c>
      <c r="K162" s="94">
        <v>72</v>
      </c>
      <c r="L162" s="94">
        <v>65</v>
      </c>
      <c r="M162" s="94">
        <v>50</v>
      </c>
      <c r="N162" s="94">
        <f t="shared" ref="N162:N173" si="73">SUM(K162:M162)</f>
        <v>187</v>
      </c>
      <c r="O162" s="26">
        <f t="shared" ref="O162:O173" si="74">N162/$N$174</f>
        <v>8.7505849321478715E-2</v>
      </c>
      <c r="Q162" s="95">
        <v>53</v>
      </c>
      <c r="R162" s="94">
        <v>31</v>
      </c>
      <c r="S162">
        <v>57</v>
      </c>
      <c r="T162">
        <f t="shared" ref="T162:T173" si="75">SUM(Q162:S162)</f>
        <v>141</v>
      </c>
      <c r="U162" s="26">
        <f t="shared" ref="U162:U173" si="76">T162/$T$174</f>
        <v>6.2974542206342118E-2</v>
      </c>
      <c r="W162">
        <v>49</v>
      </c>
      <c r="X162">
        <v>61</v>
      </c>
      <c r="Y162">
        <v>82</v>
      </c>
      <c r="Z162">
        <f t="shared" ref="Z162:Z173" si="77">SUM(W162:Y162)</f>
        <v>192</v>
      </c>
      <c r="AA162" s="26">
        <f t="shared" ref="AA162:AA173" si="78">Z162/$H$137</f>
        <v>3.5145524437122461E-2</v>
      </c>
    </row>
    <row r="163" spans="1:27">
      <c r="A163" t="s">
        <v>61</v>
      </c>
      <c r="B163">
        <f t="shared" ref="B163:B173" si="79">H163+N163+T163+Z163</f>
        <v>17</v>
      </c>
      <c r="C163" s="26">
        <f t="shared" si="70"/>
        <v>1.5791918253599629E-3</v>
      </c>
      <c r="E163">
        <v>0</v>
      </c>
      <c r="F163">
        <v>0</v>
      </c>
      <c r="G163">
        <v>0</v>
      </c>
      <c r="H163">
        <f t="shared" si="71"/>
        <v>0</v>
      </c>
      <c r="I163" s="26">
        <f t="shared" si="72"/>
        <v>0</v>
      </c>
      <c r="K163" s="94">
        <v>4</v>
      </c>
      <c r="L163" s="94">
        <v>0</v>
      </c>
      <c r="M163" s="94">
        <v>1</v>
      </c>
      <c r="N163" s="94">
        <f t="shared" si="73"/>
        <v>5</v>
      </c>
      <c r="O163" s="26">
        <f t="shared" si="74"/>
        <v>2.339728591483388E-3</v>
      </c>
      <c r="Q163" s="95">
        <v>9</v>
      </c>
      <c r="R163" s="94">
        <v>3</v>
      </c>
      <c r="S163">
        <v>0</v>
      </c>
      <c r="T163">
        <f t="shared" si="75"/>
        <v>12</v>
      </c>
      <c r="U163" s="26">
        <f t="shared" si="76"/>
        <v>5.3595355069227333E-3</v>
      </c>
      <c r="W163">
        <v>0</v>
      </c>
      <c r="X163">
        <v>0</v>
      </c>
      <c r="Y163">
        <v>0</v>
      </c>
      <c r="Z163">
        <f t="shared" si="77"/>
        <v>0</v>
      </c>
      <c r="AA163" s="26">
        <f t="shared" si="78"/>
        <v>0</v>
      </c>
    </row>
    <row r="164" spans="1:27">
      <c r="A164" t="s">
        <v>62</v>
      </c>
      <c r="B164">
        <f t="shared" si="79"/>
        <v>1622</v>
      </c>
      <c r="C164" s="26">
        <f t="shared" si="70"/>
        <v>0.15067347886669763</v>
      </c>
      <c r="E164">
        <v>136</v>
      </c>
      <c r="F164">
        <v>126</v>
      </c>
      <c r="G164">
        <v>138</v>
      </c>
      <c r="H164">
        <f t="shared" si="71"/>
        <v>400</v>
      </c>
      <c r="I164" s="26">
        <f t="shared" si="72"/>
        <v>0.1404494382022472</v>
      </c>
      <c r="K164" s="94">
        <v>104</v>
      </c>
      <c r="L164" s="94">
        <v>143</v>
      </c>
      <c r="M164" s="94">
        <v>102</v>
      </c>
      <c r="N164" s="94">
        <f t="shared" si="73"/>
        <v>349</v>
      </c>
      <c r="O164" s="26">
        <f t="shared" si="74"/>
        <v>0.16331305568554047</v>
      </c>
      <c r="Q164" s="95">
        <v>129</v>
      </c>
      <c r="R164" s="94">
        <v>80</v>
      </c>
      <c r="S164">
        <v>180</v>
      </c>
      <c r="T164">
        <f t="shared" si="75"/>
        <v>389</v>
      </c>
      <c r="U164" s="26">
        <f t="shared" si="76"/>
        <v>0.17373827601607861</v>
      </c>
      <c r="W164">
        <v>169</v>
      </c>
      <c r="X164">
        <v>135</v>
      </c>
      <c r="Y164">
        <v>180</v>
      </c>
      <c r="Z164">
        <f t="shared" si="77"/>
        <v>484</v>
      </c>
      <c r="AA164" s="26">
        <f t="shared" si="78"/>
        <v>8.859600951857953E-2</v>
      </c>
    </row>
    <row r="165" spans="1:27">
      <c r="A165" t="s">
        <v>63</v>
      </c>
      <c r="B165">
        <f t="shared" si="79"/>
        <v>25</v>
      </c>
      <c r="C165" s="26">
        <f t="shared" si="70"/>
        <v>2.3223409196470044E-3</v>
      </c>
      <c r="E165">
        <v>0</v>
      </c>
      <c r="F165">
        <v>0</v>
      </c>
      <c r="G165">
        <v>0</v>
      </c>
      <c r="H165">
        <f t="shared" si="71"/>
        <v>0</v>
      </c>
      <c r="I165" s="26">
        <f t="shared" si="72"/>
        <v>0</v>
      </c>
      <c r="K165" s="94">
        <v>0</v>
      </c>
      <c r="L165" s="94">
        <v>0</v>
      </c>
      <c r="M165" s="94">
        <v>2</v>
      </c>
      <c r="N165" s="94">
        <f t="shared" si="73"/>
        <v>2</v>
      </c>
      <c r="O165" s="26">
        <f t="shared" si="74"/>
        <v>9.3589143659335522E-4</v>
      </c>
      <c r="Q165" s="95">
        <v>10</v>
      </c>
      <c r="R165" s="94">
        <v>0</v>
      </c>
      <c r="S165" s="98">
        <v>0</v>
      </c>
      <c r="T165">
        <f t="shared" si="75"/>
        <v>10</v>
      </c>
      <c r="U165" s="26">
        <f t="shared" si="76"/>
        <v>4.4662795891022775E-3</v>
      </c>
      <c r="W165">
        <v>3</v>
      </c>
      <c r="X165">
        <v>8</v>
      </c>
      <c r="Y165">
        <v>2</v>
      </c>
      <c r="Z165">
        <f t="shared" si="77"/>
        <v>13</v>
      </c>
      <c r="AA165" s="26">
        <f t="shared" si="78"/>
        <v>2.3796448837635001E-3</v>
      </c>
    </row>
    <row r="166" spans="1:27">
      <c r="A166" t="s">
        <v>64</v>
      </c>
      <c r="B166">
        <f t="shared" si="79"/>
        <v>254</v>
      </c>
      <c r="C166" s="26">
        <f t="shared" si="70"/>
        <v>2.3594983743613563E-2</v>
      </c>
      <c r="E166">
        <v>19</v>
      </c>
      <c r="F166">
        <v>16</v>
      </c>
      <c r="G166">
        <v>15</v>
      </c>
      <c r="H166">
        <f>SUM(E166:G166)</f>
        <v>50</v>
      </c>
      <c r="I166" s="26">
        <f t="shared" si="72"/>
        <v>1.75561797752809E-2</v>
      </c>
      <c r="K166" s="94">
        <v>16</v>
      </c>
      <c r="L166" s="94">
        <v>20</v>
      </c>
      <c r="M166" s="94">
        <v>21</v>
      </c>
      <c r="N166" s="94">
        <f t="shared" si="73"/>
        <v>57</v>
      </c>
      <c r="O166" s="26">
        <f t="shared" si="74"/>
        <v>2.6672905942910621E-2</v>
      </c>
      <c r="Q166" s="95">
        <v>13</v>
      </c>
      <c r="R166" s="94">
        <v>36</v>
      </c>
      <c r="S166">
        <v>21</v>
      </c>
      <c r="T166">
        <f t="shared" si="75"/>
        <v>70</v>
      </c>
      <c r="U166" s="26">
        <f t="shared" si="76"/>
        <v>3.1263957123715942E-2</v>
      </c>
      <c r="W166">
        <v>24</v>
      </c>
      <c r="X166">
        <v>30</v>
      </c>
      <c r="Y166">
        <v>23</v>
      </c>
      <c r="Z166">
        <f t="shared" si="77"/>
        <v>77</v>
      </c>
      <c r="AA166" s="26">
        <f t="shared" si="78"/>
        <v>1.4094819696137652E-2</v>
      </c>
    </row>
    <row r="167" spans="1:27">
      <c r="A167" t="s">
        <v>65</v>
      </c>
      <c r="B167">
        <f t="shared" si="79"/>
        <v>262</v>
      </c>
      <c r="C167" s="26">
        <f t="shared" si="70"/>
        <v>2.4338132837900605E-2</v>
      </c>
      <c r="E167">
        <v>35</v>
      </c>
      <c r="F167">
        <v>14</v>
      </c>
      <c r="G167">
        <v>9</v>
      </c>
      <c r="H167">
        <f t="shared" si="71"/>
        <v>58</v>
      </c>
      <c r="I167" s="26">
        <f t="shared" si="72"/>
        <v>2.0365168539325844E-2</v>
      </c>
      <c r="K167" s="94">
        <v>22</v>
      </c>
      <c r="L167" s="94">
        <v>24</v>
      </c>
      <c r="M167" s="94">
        <v>18</v>
      </c>
      <c r="N167" s="94">
        <f t="shared" si="73"/>
        <v>64</v>
      </c>
      <c r="O167" s="26">
        <f t="shared" si="74"/>
        <v>2.9948525970987367E-2</v>
      </c>
      <c r="Q167" s="95">
        <v>19</v>
      </c>
      <c r="R167" s="94">
        <v>18</v>
      </c>
      <c r="S167">
        <v>27</v>
      </c>
      <c r="T167">
        <f t="shared" si="75"/>
        <v>64</v>
      </c>
      <c r="U167" s="26">
        <f t="shared" si="76"/>
        <v>2.8584189370254576E-2</v>
      </c>
      <c r="W167">
        <v>28</v>
      </c>
      <c r="X167">
        <v>22</v>
      </c>
      <c r="Y167">
        <v>26</v>
      </c>
      <c r="Z167">
        <f t="shared" si="77"/>
        <v>76</v>
      </c>
      <c r="AA167" s="26">
        <f t="shared" si="78"/>
        <v>1.3911770089694308E-2</v>
      </c>
    </row>
    <row r="168" spans="1:27">
      <c r="A168" t="s">
        <v>66</v>
      </c>
      <c r="B168">
        <f t="shared" si="79"/>
        <v>3990</v>
      </c>
      <c r="C168" s="26">
        <f t="shared" si="70"/>
        <v>0.37064561077566188</v>
      </c>
      <c r="E168">
        <v>621</v>
      </c>
      <c r="F168">
        <v>372</v>
      </c>
      <c r="G168">
        <v>295</v>
      </c>
      <c r="H168">
        <f t="shared" si="71"/>
        <v>1288</v>
      </c>
      <c r="I168" s="26">
        <f t="shared" si="72"/>
        <v>0.45224719101123595</v>
      </c>
      <c r="K168" s="94">
        <v>282</v>
      </c>
      <c r="L168" s="94">
        <v>215</v>
      </c>
      <c r="M168" s="94">
        <v>244</v>
      </c>
      <c r="N168" s="94">
        <f t="shared" si="73"/>
        <v>741</v>
      </c>
      <c r="O168" s="26">
        <f t="shared" si="74"/>
        <v>0.34674777725783806</v>
      </c>
      <c r="Q168" s="95">
        <v>215</v>
      </c>
      <c r="R168" s="94">
        <v>258</v>
      </c>
      <c r="S168">
        <v>200</v>
      </c>
      <c r="T168">
        <f t="shared" si="75"/>
        <v>673</v>
      </c>
      <c r="U168" s="26">
        <f t="shared" si="76"/>
        <v>0.30058061634658328</v>
      </c>
      <c r="W168">
        <v>257</v>
      </c>
      <c r="X168">
        <v>410</v>
      </c>
      <c r="Y168">
        <v>621</v>
      </c>
      <c r="Z168">
        <f t="shared" si="77"/>
        <v>1288</v>
      </c>
      <c r="AA168" s="26">
        <f t="shared" si="78"/>
        <v>0.23576789309902985</v>
      </c>
    </row>
    <row r="169" spans="1:27">
      <c r="A169" t="s">
        <v>89</v>
      </c>
      <c r="B169">
        <f t="shared" si="79"/>
        <v>42</v>
      </c>
      <c r="C169" s="26">
        <f t="shared" si="70"/>
        <v>3.9015327450069672E-3</v>
      </c>
      <c r="E169">
        <v>2</v>
      </c>
      <c r="F169">
        <v>4</v>
      </c>
      <c r="G169">
        <v>0</v>
      </c>
      <c r="H169">
        <f t="shared" si="71"/>
        <v>6</v>
      </c>
      <c r="I169" s="26">
        <f t="shared" si="72"/>
        <v>2.1067415730337078E-3</v>
      </c>
      <c r="K169" s="94">
        <v>0</v>
      </c>
      <c r="L169" s="94">
        <v>0</v>
      </c>
      <c r="M169" s="94">
        <v>7</v>
      </c>
      <c r="N169" s="94">
        <f t="shared" si="73"/>
        <v>7</v>
      </c>
      <c r="O169" s="26">
        <f t="shared" si="74"/>
        <v>3.2756200280767431E-3</v>
      </c>
      <c r="Q169" s="95">
        <v>18</v>
      </c>
      <c r="R169" s="94">
        <v>4</v>
      </c>
      <c r="S169">
        <v>1</v>
      </c>
      <c r="T169">
        <f t="shared" si="75"/>
        <v>23</v>
      </c>
      <c r="U169" s="26">
        <f t="shared" si="76"/>
        <v>1.027244305493524E-2</v>
      </c>
      <c r="W169">
        <v>0</v>
      </c>
      <c r="X169">
        <v>1</v>
      </c>
      <c r="Y169">
        <v>5</v>
      </c>
      <c r="Z169">
        <f t="shared" si="77"/>
        <v>6</v>
      </c>
      <c r="AA169" s="26">
        <f t="shared" si="78"/>
        <v>1.0982976386600769E-3</v>
      </c>
    </row>
    <row r="170" spans="1:27">
      <c r="A170" t="s">
        <v>67</v>
      </c>
      <c r="B170">
        <f t="shared" si="79"/>
        <v>2178</v>
      </c>
      <c r="C170" s="26">
        <f t="shared" si="70"/>
        <v>0.20232234091964701</v>
      </c>
      <c r="E170">
        <v>219</v>
      </c>
      <c r="F170">
        <v>152</v>
      </c>
      <c r="G170">
        <v>177</v>
      </c>
      <c r="H170">
        <f t="shared" si="71"/>
        <v>548</v>
      </c>
      <c r="I170" s="26">
        <f t="shared" si="72"/>
        <v>0.19241573033707865</v>
      </c>
      <c r="K170" s="94">
        <v>130</v>
      </c>
      <c r="L170" s="94">
        <v>157</v>
      </c>
      <c r="M170" s="94">
        <v>181</v>
      </c>
      <c r="N170" s="94">
        <f t="shared" si="73"/>
        <v>468</v>
      </c>
      <c r="O170" s="26">
        <f t="shared" si="74"/>
        <v>0.21899859616284512</v>
      </c>
      <c r="Q170" s="95">
        <v>159</v>
      </c>
      <c r="R170" s="94">
        <v>136</v>
      </c>
      <c r="S170">
        <v>173</v>
      </c>
      <c r="T170">
        <f t="shared" si="75"/>
        <v>468</v>
      </c>
      <c r="U170" s="26">
        <f t="shared" si="76"/>
        <v>0.20902188476998659</v>
      </c>
      <c r="W170">
        <v>245</v>
      </c>
      <c r="X170">
        <v>233</v>
      </c>
      <c r="Y170">
        <v>216</v>
      </c>
      <c r="Z170">
        <f t="shared" si="77"/>
        <v>694</v>
      </c>
      <c r="AA170" s="26">
        <f t="shared" si="78"/>
        <v>0.12703642687168223</v>
      </c>
    </row>
    <row r="171" spans="1:27">
      <c r="A171" t="s">
        <v>90</v>
      </c>
      <c r="B171">
        <f t="shared" si="79"/>
        <v>2</v>
      </c>
      <c r="C171" s="26">
        <f t="shared" si="70"/>
        <v>1.8578727357176033E-4</v>
      </c>
      <c r="E171">
        <v>0</v>
      </c>
      <c r="F171">
        <v>0</v>
      </c>
      <c r="G171">
        <v>0</v>
      </c>
      <c r="H171">
        <f t="shared" si="71"/>
        <v>0</v>
      </c>
      <c r="I171" s="26">
        <f t="shared" si="72"/>
        <v>0</v>
      </c>
      <c r="K171" s="94">
        <v>1</v>
      </c>
      <c r="L171" s="94">
        <v>0</v>
      </c>
      <c r="M171" s="96">
        <v>0</v>
      </c>
      <c r="N171" s="94">
        <f t="shared" si="73"/>
        <v>1</v>
      </c>
      <c r="O171" s="26">
        <f t="shared" si="74"/>
        <v>4.6794571829667761E-4</v>
      </c>
      <c r="Q171" s="95">
        <v>0</v>
      </c>
      <c r="R171" s="94">
        <v>0</v>
      </c>
      <c r="S171">
        <v>0</v>
      </c>
      <c r="T171">
        <f t="shared" si="75"/>
        <v>0</v>
      </c>
      <c r="U171" s="26">
        <f t="shared" si="76"/>
        <v>0</v>
      </c>
      <c r="W171">
        <v>0</v>
      </c>
      <c r="X171">
        <v>1</v>
      </c>
      <c r="Y171">
        <v>0</v>
      </c>
      <c r="Z171">
        <f t="shared" si="77"/>
        <v>1</v>
      </c>
      <c r="AA171" s="26">
        <f t="shared" si="78"/>
        <v>1.8304960644334616E-4</v>
      </c>
    </row>
    <row r="172" spans="1:27">
      <c r="A172" t="s">
        <v>69</v>
      </c>
      <c r="B172">
        <f t="shared" si="79"/>
        <v>560</v>
      </c>
      <c r="C172" s="26">
        <f t="shared" si="70"/>
        <v>5.2020436600092895E-2</v>
      </c>
      <c r="E172">
        <v>62</v>
      </c>
      <c r="F172">
        <v>30</v>
      </c>
      <c r="G172">
        <v>45</v>
      </c>
      <c r="H172">
        <f t="shared" si="71"/>
        <v>137</v>
      </c>
      <c r="I172" s="26">
        <f t="shared" si="72"/>
        <v>4.8103932584269662E-2</v>
      </c>
      <c r="K172" s="94">
        <v>27</v>
      </c>
      <c r="L172" s="94">
        <v>30</v>
      </c>
      <c r="M172" s="96">
        <v>52</v>
      </c>
      <c r="N172" s="94">
        <f t="shared" si="73"/>
        <v>109</v>
      </c>
      <c r="O172" s="26">
        <f t="shared" si="74"/>
        <v>5.1006083294337853E-2</v>
      </c>
      <c r="Q172" s="95">
        <v>51</v>
      </c>
      <c r="R172" s="94">
        <v>37</v>
      </c>
      <c r="S172">
        <v>60</v>
      </c>
      <c r="T172">
        <f t="shared" si="75"/>
        <v>148</v>
      </c>
      <c r="U172" s="26">
        <f t="shared" si="76"/>
        <v>6.6100937918713715E-2</v>
      </c>
      <c r="W172">
        <v>34</v>
      </c>
      <c r="X172">
        <v>68</v>
      </c>
      <c r="Y172">
        <v>64</v>
      </c>
      <c r="Z172">
        <f t="shared" si="77"/>
        <v>166</v>
      </c>
      <c r="AA172" s="26">
        <f t="shared" si="78"/>
        <v>3.038623466959546E-2</v>
      </c>
    </row>
    <row r="173" spans="1:27">
      <c r="A173" t="s">
        <v>70</v>
      </c>
      <c r="B173">
        <f t="shared" si="79"/>
        <v>0</v>
      </c>
      <c r="C173" s="26">
        <f t="shared" si="70"/>
        <v>0</v>
      </c>
      <c r="E173">
        <v>0</v>
      </c>
      <c r="F173">
        <v>0</v>
      </c>
      <c r="G173">
        <v>0</v>
      </c>
      <c r="H173">
        <f t="shared" si="71"/>
        <v>0</v>
      </c>
      <c r="I173" s="26">
        <f t="shared" si="72"/>
        <v>0</v>
      </c>
      <c r="K173" s="94">
        <v>0</v>
      </c>
      <c r="L173" s="94">
        <v>0</v>
      </c>
      <c r="M173" s="96">
        <v>0</v>
      </c>
      <c r="N173" s="94">
        <f t="shared" si="73"/>
        <v>0</v>
      </c>
      <c r="O173" s="26">
        <f t="shared" si="74"/>
        <v>0</v>
      </c>
      <c r="Q173" s="95">
        <v>0</v>
      </c>
      <c r="R173" s="94">
        <v>0</v>
      </c>
      <c r="S173">
        <v>0</v>
      </c>
      <c r="T173">
        <f t="shared" si="75"/>
        <v>0</v>
      </c>
      <c r="U173" s="26">
        <f t="shared" si="76"/>
        <v>0</v>
      </c>
      <c r="W173">
        <v>0</v>
      </c>
      <c r="X173">
        <v>0</v>
      </c>
      <c r="Z173">
        <f t="shared" si="77"/>
        <v>0</v>
      </c>
      <c r="AA173" s="26">
        <f t="shared" si="78"/>
        <v>0</v>
      </c>
    </row>
    <row r="174" spans="1:27">
      <c r="B174">
        <f>H174+N174+T174+Z174</f>
        <v>10765</v>
      </c>
      <c r="C174" s="26">
        <f>B174/B$174</f>
        <v>1</v>
      </c>
      <c r="E174">
        <f>SUM(E161:E173)</f>
        <v>1189</v>
      </c>
      <c r="F174">
        <f>SUM(F161:F173)</f>
        <v>824</v>
      </c>
      <c r="G174">
        <f>SUM(G161:G173)</f>
        <v>835</v>
      </c>
      <c r="H174">
        <f>SUM(H161:H173)</f>
        <v>2848</v>
      </c>
      <c r="I174" s="26">
        <f>SUM(I161:I173)</f>
        <v>1</v>
      </c>
      <c r="K174">
        <f>SUM(K161:K173)</f>
        <v>691</v>
      </c>
      <c r="L174">
        <f>SUM(L161:L173)</f>
        <v>707</v>
      </c>
      <c r="M174">
        <f>SUM(M161:M173)</f>
        <v>739</v>
      </c>
      <c r="N174">
        <f>SUM(N161:N173)</f>
        <v>2137</v>
      </c>
      <c r="O174" s="26">
        <f>SUM(O161:O173)</f>
        <v>1</v>
      </c>
      <c r="Q174" s="79">
        <f>SUM(Q161:Q173)</f>
        <v>753</v>
      </c>
      <c r="R174" s="79">
        <f>SUM(R161:R173)</f>
        <v>667</v>
      </c>
      <c r="S174" s="79">
        <f>SUM(S161:S173)</f>
        <v>819</v>
      </c>
      <c r="T174" s="79">
        <f>SUM(T161:T173)</f>
        <v>2239</v>
      </c>
      <c r="U174" s="80">
        <f>SUM(U161:U173)</f>
        <v>1</v>
      </c>
      <c r="W174">
        <f>SUM(W161:W173)</f>
        <v>961</v>
      </c>
      <c r="X174">
        <f>SUM(X161:X173)</f>
        <v>1224</v>
      </c>
      <c r="Y174">
        <f>SUM(Y161:Y173)</f>
        <v>1356</v>
      </c>
      <c r="Z174">
        <f>SUM(Z161:Z173)</f>
        <v>3541</v>
      </c>
      <c r="AA174" s="26">
        <f>SUM(AA161:AA173)</f>
        <v>0.64817865641588868</v>
      </c>
    </row>
    <row r="175" spans="1:27">
      <c r="A175" t="s">
        <v>92</v>
      </c>
      <c r="D175" s="26">
        <f>SUM(C161:C173)</f>
        <v>1</v>
      </c>
      <c r="E175" s="3">
        <f>'Monthly Stats'!$M115</f>
        <v>1189</v>
      </c>
      <c r="F175" s="3">
        <f>'Monthly Stats'!$M116</f>
        <v>824</v>
      </c>
      <c r="G175" s="3">
        <f>'Monthly Stats'!$M117</f>
        <v>835</v>
      </c>
      <c r="J175" s="3">
        <f>'Monthly Stats'!K119</f>
        <v>442</v>
      </c>
      <c r="K175" s="3">
        <f>'Monthly Stats'!M118</f>
        <v>691</v>
      </c>
      <c r="L175" s="3">
        <f>'Monthly Stats'!M119</f>
        <v>707</v>
      </c>
      <c r="M175" s="3">
        <f>'Monthly Stats'!M120</f>
        <v>739</v>
      </c>
      <c r="N175" s="3"/>
      <c r="Q175" s="3">
        <f>'Monthly Stats'!M121</f>
        <v>753</v>
      </c>
      <c r="R175" s="3">
        <f>'Monthly Stats'!M122</f>
        <v>667</v>
      </c>
      <c r="S175" s="3">
        <f>'Monthly Stats'!M123</f>
        <v>819</v>
      </c>
      <c r="W175" s="3">
        <f>+'Monthly Stats'!M124</f>
        <v>961</v>
      </c>
      <c r="X175" s="3">
        <f>+'Monthly Stats'!M125</f>
        <v>1224</v>
      </c>
      <c r="Y175" s="3">
        <f>+'Monthly Stats'!M126</f>
        <v>1356</v>
      </c>
      <c r="Z175" s="3"/>
    </row>
    <row r="178" spans="1:27">
      <c r="A178" s="28">
        <v>2022</v>
      </c>
      <c r="E178" s="1">
        <v>44562</v>
      </c>
      <c r="F178" s="1">
        <v>44593</v>
      </c>
      <c r="G178" s="1">
        <v>44621</v>
      </c>
      <c r="H178" s="102" t="s">
        <v>82</v>
      </c>
      <c r="I178" s="102"/>
      <c r="K178" s="1">
        <v>44652</v>
      </c>
      <c r="L178" s="1">
        <v>44682</v>
      </c>
      <c r="M178" s="1">
        <v>44713</v>
      </c>
      <c r="N178" s="102" t="s">
        <v>83</v>
      </c>
      <c r="O178" s="102"/>
      <c r="Q178" s="1">
        <v>44743</v>
      </c>
      <c r="R178" s="1">
        <v>44774</v>
      </c>
      <c r="S178" s="1">
        <v>44805</v>
      </c>
      <c r="T178" s="102" t="s">
        <v>84</v>
      </c>
      <c r="U178" s="102"/>
      <c r="W178" s="1">
        <v>44835</v>
      </c>
      <c r="X178" s="1">
        <v>44866</v>
      </c>
      <c r="Y178" s="1">
        <v>44896</v>
      </c>
      <c r="Z178" s="102" t="s">
        <v>85</v>
      </c>
      <c r="AA178" s="102"/>
    </row>
    <row r="180" spans="1:27">
      <c r="A180" t="s">
        <v>59</v>
      </c>
      <c r="B180" s="99">
        <f>+H180+N180+T180+Z180</f>
        <v>872</v>
      </c>
      <c r="C180" s="26">
        <f>B180/B$193</f>
        <v>6.6727884909703092E-2</v>
      </c>
      <c r="E180">
        <v>83</v>
      </c>
      <c r="F180">
        <v>95</v>
      </c>
      <c r="G180">
        <v>81</v>
      </c>
      <c r="H180">
        <f>SUM(E180:G180)</f>
        <v>259</v>
      </c>
      <c r="I180" s="26">
        <f>H180/$H$193</f>
        <v>6.391905231984206E-2</v>
      </c>
      <c r="K180">
        <v>101</v>
      </c>
      <c r="L180">
        <v>105</v>
      </c>
      <c r="M180">
        <v>105</v>
      </c>
      <c r="N180">
        <f>SUM(K180:M180)</f>
        <v>311</v>
      </c>
      <c r="O180" s="26">
        <f>N180/$N$193</f>
        <v>6.8321616871704752E-2</v>
      </c>
      <c r="Q180">
        <v>62</v>
      </c>
      <c r="R180">
        <v>102</v>
      </c>
      <c r="S180">
        <v>138</v>
      </c>
      <c r="T180">
        <f>SUM(Q180:S180)</f>
        <v>302</v>
      </c>
      <c r="U180" s="26">
        <f>T180/$H$193</f>
        <v>7.453109575518263E-2</v>
      </c>
      <c r="AA180" s="26">
        <f>Z180/$H$193</f>
        <v>0</v>
      </c>
    </row>
    <row r="181" spans="1:27">
      <c r="A181" t="s">
        <v>60</v>
      </c>
      <c r="B181" s="99">
        <f t="shared" ref="B181:B192" si="80">+H181+N181+T181+Z181</f>
        <v>721</v>
      </c>
      <c r="C181" s="26">
        <f t="shared" ref="C181:C193" si="81">B181/B$193</f>
        <v>5.5172941536577903E-2</v>
      </c>
      <c r="E181">
        <v>50</v>
      </c>
      <c r="F181">
        <v>72</v>
      </c>
      <c r="G181">
        <v>85</v>
      </c>
      <c r="H181">
        <f t="shared" ref="H181:H192" si="82">SUM(E181:G181)</f>
        <v>207</v>
      </c>
      <c r="I181" s="26">
        <f t="shared" ref="I181:I193" si="83">H181/$H$193</f>
        <v>5.1085883514313916E-2</v>
      </c>
      <c r="K181">
        <v>107</v>
      </c>
      <c r="L181">
        <v>100</v>
      </c>
      <c r="M181">
        <v>97</v>
      </c>
      <c r="N181">
        <f t="shared" ref="N181:N192" si="84">SUM(K181:M181)</f>
        <v>304</v>
      </c>
      <c r="O181" s="26">
        <f t="shared" ref="O181:O193" si="85">N181/$N$193</f>
        <v>6.6783831282952552E-2</v>
      </c>
      <c r="Q181">
        <v>64</v>
      </c>
      <c r="R181">
        <v>74</v>
      </c>
      <c r="S181">
        <v>72</v>
      </c>
      <c r="T181">
        <f t="shared" ref="T181:T192" si="86">SUM(Q181:S181)</f>
        <v>210</v>
      </c>
      <c r="U181" s="26">
        <f t="shared" ref="U181:U193" si="87">T181/$H$193</f>
        <v>5.1826258637709774E-2</v>
      </c>
      <c r="AA181" s="26">
        <f t="shared" ref="AA181:AA193" si="88">Z181/$H$193</f>
        <v>0</v>
      </c>
    </row>
    <row r="182" spans="1:27">
      <c r="A182" t="s">
        <v>61</v>
      </c>
      <c r="B182" s="99">
        <f t="shared" si="80"/>
        <v>47</v>
      </c>
      <c r="C182" s="26">
        <f t="shared" si="81"/>
        <v>3.5965717783899604E-3</v>
      </c>
      <c r="E182">
        <v>0</v>
      </c>
      <c r="F182">
        <v>13</v>
      </c>
      <c r="G182">
        <v>4</v>
      </c>
      <c r="H182">
        <f t="shared" si="82"/>
        <v>17</v>
      </c>
      <c r="I182" s="26">
        <f t="shared" si="83"/>
        <v>4.1954590325765052E-3</v>
      </c>
      <c r="K182">
        <v>4</v>
      </c>
      <c r="L182">
        <v>4</v>
      </c>
      <c r="M182">
        <v>6</v>
      </c>
      <c r="N182">
        <f t="shared" si="84"/>
        <v>14</v>
      </c>
      <c r="O182" s="26">
        <f t="shared" si="85"/>
        <v>3.0755711775043936E-3</v>
      </c>
      <c r="Q182">
        <v>0</v>
      </c>
      <c r="R182">
        <v>14</v>
      </c>
      <c r="S182">
        <v>2</v>
      </c>
      <c r="T182">
        <f t="shared" si="86"/>
        <v>16</v>
      </c>
      <c r="U182" s="26">
        <f t="shared" si="87"/>
        <v>3.9486673247778872E-3</v>
      </c>
      <c r="AA182" s="26">
        <f t="shared" si="88"/>
        <v>0</v>
      </c>
    </row>
    <row r="183" spans="1:27">
      <c r="A183" t="s">
        <v>62</v>
      </c>
      <c r="B183" s="99">
        <f t="shared" si="80"/>
        <v>1499</v>
      </c>
      <c r="C183" s="26">
        <f t="shared" si="81"/>
        <v>0.11470768288950108</v>
      </c>
      <c r="E183">
        <v>255</v>
      </c>
      <c r="F183">
        <v>254</v>
      </c>
      <c r="G183">
        <v>153</v>
      </c>
      <c r="H183">
        <f t="shared" si="82"/>
        <v>662</v>
      </c>
      <c r="I183" s="26">
        <f t="shared" si="83"/>
        <v>0.16337611056268508</v>
      </c>
      <c r="K183">
        <v>136</v>
      </c>
      <c r="L183">
        <v>136</v>
      </c>
      <c r="M183">
        <v>135</v>
      </c>
      <c r="N183">
        <f t="shared" si="84"/>
        <v>407</v>
      </c>
      <c r="O183" s="26">
        <f t="shared" si="85"/>
        <v>8.9411247803163438E-2</v>
      </c>
      <c r="Q183">
        <v>145</v>
      </c>
      <c r="R183">
        <v>135</v>
      </c>
      <c r="S183">
        <v>150</v>
      </c>
      <c r="T183">
        <f t="shared" si="86"/>
        <v>430</v>
      </c>
      <c r="U183" s="26">
        <f t="shared" si="87"/>
        <v>0.10612043435340572</v>
      </c>
      <c r="AA183" s="26">
        <f t="shared" si="88"/>
        <v>0</v>
      </c>
    </row>
    <row r="184" spans="1:27">
      <c r="A184" t="s">
        <v>63</v>
      </c>
      <c r="B184" s="99">
        <f t="shared" si="80"/>
        <v>369</v>
      </c>
      <c r="C184" s="26">
        <f t="shared" si="81"/>
        <v>2.8236914600550965E-2</v>
      </c>
      <c r="E184">
        <v>15</v>
      </c>
      <c r="F184">
        <v>15</v>
      </c>
      <c r="G184">
        <v>29</v>
      </c>
      <c r="H184">
        <f t="shared" si="82"/>
        <v>59</v>
      </c>
      <c r="I184" s="26">
        <f t="shared" si="83"/>
        <v>1.4560710760118461E-2</v>
      </c>
      <c r="K184">
        <v>19</v>
      </c>
      <c r="L184">
        <v>41</v>
      </c>
      <c r="M184">
        <v>39</v>
      </c>
      <c r="N184">
        <f t="shared" si="84"/>
        <v>99</v>
      </c>
      <c r="O184" s="26">
        <f t="shared" si="85"/>
        <v>2.1748681898066783E-2</v>
      </c>
      <c r="Q184">
        <v>43</v>
      </c>
      <c r="R184">
        <v>94</v>
      </c>
      <c r="S184">
        <v>74</v>
      </c>
      <c r="T184">
        <f t="shared" si="86"/>
        <v>211</v>
      </c>
      <c r="U184" s="26">
        <f t="shared" si="87"/>
        <v>5.2073050345508388E-2</v>
      </c>
      <c r="AA184" s="26">
        <f t="shared" si="88"/>
        <v>0</v>
      </c>
    </row>
    <row r="185" spans="1:27">
      <c r="A185" t="s">
        <v>64</v>
      </c>
      <c r="B185" s="99">
        <f t="shared" si="80"/>
        <v>215</v>
      </c>
      <c r="C185" s="26">
        <f t="shared" si="81"/>
        <v>1.6452402816039179E-2</v>
      </c>
      <c r="E185">
        <v>37</v>
      </c>
      <c r="F185">
        <v>22</v>
      </c>
      <c r="G185">
        <v>7</v>
      </c>
      <c r="H185">
        <f>SUM(E185:G185)</f>
        <v>66</v>
      </c>
      <c r="I185" s="26">
        <f t="shared" si="83"/>
        <v>1.6288252714708785E-2</v>
      </c>
      <c r="K185">
        <v>17</v>
      </c>
      <c r="L185">
        <v>20</v>
      </c>
      <c r="M185">
        <v>19</v>
      </c>
      <c r="N185">
        <f>SUM(K185:M185)</f>
        <v>56</v>
      </c>
      <c r="O185" s="26">
        <f t="shared" si="85"/>
        <v>1.2302284710017574E-2</v>
      </c>
      <c r="Q185">
        <v>12</v>
      </c>
      <c r="R185">
        <v>42</v>
      </c>
      <c r="S185">
        <v>39</v>
      </c>
      <c r="T185">
        <f>SUM(Q185:S185)</f>
        <v>93</v>
      </c>
      <c r="U185" s="26">
        <f t="shared" si="87"/>
        <v>2.2951628825271471E-2</v>
      </c>
      <c r="AA185" s="26">
        <f t="shared" si="88"/>
        <v>0</v>
      </c>
    </row>
    <row r="186" spans="1:27">
      <c r="A186" t="s">
        <v>65</v>
      </c>
      <c r="B186" s="99">
        <f t="shared" si="80"/>
        <v>280</v>
      </c>
      <c r="C186" s="26">
        <f t="shared" si="81"/>
        <v>2.1426385062748698E-2</v>
      </c>
      <c r="E186">
        <v>29</v>
      </c>
      <c r="F186">
        <v>21</v>
      </c>
      <c r="G186">
        <v>20</v>
      </c>
      <c r="H186">
        <f t="shared" si="82"/>
        <v>70</v>
      </c>
      <c r="I186" s="26">
        <f t="shared" si="83"/>
        <v>1.7275419545903257E-2</v>
      </c>
      <c r="K186">
        <v>22</v>
      </c>
      <c r="L186">
        <v>38</v>
      </c>
      <c r="M186">
        <v>31</v>
      </c>
      <c r="N186">
        <f t="shared" si="84"/>
        <v>91</v>
      </c>
      <c r="O186" s="26">
        <f t="shared" si="85"/>
        <v>1.999121265377856E-2</v>
      </c>
      <c r="Q186">
        <v>24</v>
      </c>
      <c r="R186">
        <v>46</v>
      </c>
      <c r="S186">
        <v>49</v>
      </c>
      <c r="T186">
        <f t="shared" si="86"/>
        <v>119</v>
      </c>
      <c r="U186" s="26">
        <f t="shared" si="87"/>
        <v>2.9368213228035539E-2</v>
      </c>
      <c r="AA186" s="26">
        <f t="shared" si="88"/>
        <v>0</v>
      </c>
    </row>
    <row r="187" spans="1:27">
      <c r="A187" t="s">
        <v>66</v>
      </c>
      <c r="B187" s="99">
        <f t="shared" si="80"/>
        <v>5751</v>
      </c>
      <c r="C187" s="26">
        <f t="shared" si="81"/>
        <v>0.44008264462809915</v>
      </c>
      <c r="E187">
        <v>587</v>
      </c>
      <c r="F187">
        <v>496</v>
      </c>
      <c r="G187">
        <v>579</v>
      </c>
      <c r="H187">
        <f t="shared" si="82"/>
        <v>1662</v>
      </c>
      <c r="I187" s="26">
        <f t="shared" si="83"/>
        <v>0.41016781836130306</v>
      </c>
      <c r="K187">
        <v>730</v>
      </c>
      <c r="L187">
        <v>635</v>
      </c>
      <c r="M187">
        <v>613</v>
      </c>
      <c r="N187">
        <f t="shared" si="84"/>
        <v>1978</v>
      </c>
      <c r="O187" s="26">
        <f t="shared" si="85"/>
        <v>0.43453427065026362</v>
      </c>
      <c r="Q187">
        <v>372</v>
      </c>
      <c r="R187">
        <v>752</v>
      </c>
      <c r="S187">
        <v>987</v>
      </c>
      <c r="T187">
        <f t="shared" si="86"/>
        <v>2111</v>
      </c>
      <c r="U187" s="26">
        <f t="shared" si="87"/>
        <v>0.52097729516288249</v>
      </c>
      <c r="AA187" s="26">
        <f t="shared" si="88"/>
        <v>0</v>
      </c>
    </row>
    <row r="188" spans="1:27">
      <c r="A188" t="s">
        <v>89</v>
      </c>
      <c r="B188" s="99">
        <f t="shared" si="80"/>
        <v>177</v>
      </c>
      <c r="C188" s="26">
        <f t="shared" si="81"/>
        <v>1.3544536271808998E-2</v>
      </c>
      <c r="E188">
        <v>15</v>
      </c>
      <c r="F188">
        <v>13</v>
      </c>
      <c r="G188">
        <v>14</v>
      </c>
      <c r="H188">
        <f t="shared" si="82"/>
        <v>42</v>
      </c>
      <c r="I188" s="26">
        <f t="shared" si="83"/>
        <v>1.0365251727541954E-2</v>
      </c>
      <c r="K188">
        <v>22</v>
      </c>
      <c r="L188">
        <v>42</v>
      </c>
      <c r="M188">
        <v>28</v>
      </c>
      <c r="N188">
        <f t="shared" si="84"/>
        <v>92</v>
      </c>
      <c r="O188" s="26">
        <f t="shared" si="85"/>
        <v>2.0210896309314587E-2</v>
      </c>
      <c r="Q188">
        <v>14</v>
      </c>
      <c r="R188">
        <v>25</v>
      </c>
      <c r="S188">
        <v>4</v>
      </c>
      <c r="T188">
        <f t="shared" si="86"/>
        <v>43</v>
      </c>
      <c r="U188" s="26">
        <f t="shared" si="87"/>
        <v>1.0612043435340572E-2</v>
      </c>
      <c r="AA188" s="26">
        <f t="shared" si="88"/>
        <v>0</v>
      </c>
    </row>
    <row r="189" spans="1:27">
      <c r="A189" t="s">
        <v>67</v>
      </c>
      <c r="B189" s="99">
        <f t="shared" si="80"/>
        <v>2525</v>
      </c>
      <c r="C189" s="26">
        <f t="shared" si="81"/>
        <v>0.19322007958371595</v>
      </c>
      <c r="E189">
        <v>228</v>
      </c>
      <c r="F189">
        <v>261</v>
      </c>
      <c r="G189">
        <v>284</v>
      </c>
      <c r="H189">
        <f t="shared" si="82"/>
        <v>773</v>
      </c>
      <c r="I189" s="26">
        <f t="shared" si="83"/>
        <v>0.19076999012833168</v>
      </c>
      <c r="K189">
        <v>261</v>
      </c>
      <c r="L189">
        <v>306</v>
      </c>
      <c r="M189">
        <v>436</v>
      </c>
      <c r="N189">
        <f t="shared" si="84"/>
        <v>1003</v>
      </c>
      <c r="O189" s="26">
        <f t="shared" si="85"/>
        <v>0.22034270650263621</v>
      </c>
      <c r="Q189">
        <v>235</v>
      </c>
      <c r="R189">
        <v>178</v>
      </c>
      <c r="S189">
        <v>336</v>
      </c>
      <c r="T189">
        <f t="shared" si="86"/>
        <v>749</v>
      </c>
      <c r="U189" s="26">
        <f t="shared" si="87"/>
        <v>0.18484698914116485</v>
      </c>
      <c r="AA189" s="26">
        <f t="shared" si="88"/>
        <v>0</v>
      </c>
    </row>
    <row r="190" spans="1:27">
      <c r="A190" t="s">
        <v>90</v>
      </c>
      <c r="B190" s="99">
        <f t="shared" si="80"/>
        <v>5</v>
      </c>
      <c r="C190" s="26">
        <f t="shared" si="81"/>
        <v>3.8261401897765536E-4</v>
      </c>
      <c r="E190">
        <v>0</v>
      </c>
      <c r="F190">
        <v>0</v>
      </c>
      <c r="G190">
        <v>2</v>
      </c>
      <c r="H190">
        <f t="shared" si="82"/>
        <v>2</v>
      </c>
      <c r="I190" s="26">
        <f t="shared" si="83"/>
        <v>4.935834155972359E-4</v>
      </c>
      <c r="K190">
        <v>3</v>
      </c>
      <c r="L190">
        <v>0</v>
      </c>
      <c r="M190">
        <v>0</v>
      </c>
      <c r="N190">
        <f t="shared" si="84"/>
        <v>3</v>
      </c>
      <c r="O190" s="26">
        <f t="shared" si="85"/>
        <v>6.5905096660808437E-4</v>
      </c>
      <c r="Q190">
        <v>0</v>
      </c>
      <c r="R190">
        <v>0</v>
      </c>
      <c r="S190">
        <v>0</v>
      </c>
      <c r="T190">
        <f t="shared" si="86"/>
        <v>0</v>
      </c>
      <c r="U190" s="26">
        <f t="shared" si="87"/>
        <v>0</v>
      </c>
      <c r="AA190" s="26">
        <f t="shared" si="88"/>
        <v>0</v>
      </c>
    </row>
    <row r="191" spans="1:27">
      <c r="A191" t="s">
        <v>69</v>
      </c>
      <c r="B191" s="99">
        <f t="shared" si="80"/>
        <v>607</v>
      </c>
      <c r="C191" s="26">
        <f t="shared" si="81"/>
        <v>4.6449341903887359E-2</v>
      </c>
      <c r="E191">
        <v>82</v>
      </c>
      <c r="F191">
        <v>68</v>
      </c>
      <c r="G191">
        <v>83</v>
      </c>
      <c r="H191">
        <f>SUM(E191:G191)</f>
        <v>233</v>
      </c>
      <c r="I191" s="26">
        <f>H191/$H$193</f>
        <v>5.7502467917077985E-2</v>
      </c>
      <c r="K191">
        <v>47</v>
      </c>
      <c r="L191">
        <v>71</v>
      </c>
      <c r="M191">
        <v>76</v>
      </c>
      <c r="N191">
        <f>SUM(K191:M191)</f>
        <v>194</v>
      </c>
      <c r="O191" s="26">
        <f t="shared" si="85"/>
        <v>4.2618629173989453E-2</v>
      </c>
      <c r="Q191">
        <v>47</v>
      </c>
      <c r="R191">
        <v>62</v>
      </c>
      <c r="S191">
        <v>71</v>
      </c>
      <c r="T191">
        <f>SUM(Q191:S191)</f>
        <v>180</v>
      </c>
      <c r="U191" s="26">
        <f t="shared" si="87"/>
        <v>4.4422507403751234E-2</v>
      </c>
      <c r="AA191" s="26">
        <f t="shared" si="88"/>
        <v>0</v>
      </c>
    </row>
    <row r="192" spans="1:27">
      <c r="A192" t="s">
        <v>70</v>
      </c>
      <c r="B192" s="99">
        <f t="shared" si="80"/>
        <v>0</v>
      </c>
      <c r="C192" s="26">
        <f t="shared" si="81"/>
        <v>0</v>
      </c>
      <c r="E192">
        <v>0</v>
      </c>
      <c r="H192">
        <f t="shared" si="82"/>
        <v>0</v>
      </c>
      <c r="I192" s="26">
        <f t="shared" si="83"/>
        <v>0</v>
      </c>
      <c r="L192">
        <v>0</v>
      </c>
      <c r="N192">
        <f t="shared" si="84"/>
        <v>0</v>
      </c>
      <c r="O192" s="26">
        <f t="shared" si="85"/>
        <v>0</v>
      </c>
      <c r="Q192">
        <v>0</v>
      </c>
      <c r="T192">
        <f t="shared" si="86"/>
        <v>0</v>
      </c>
      <c r="U192" s="26">
        <f t="shared" si="87"/>
        <v>0</v>
      </c>
      <c r="AA192" s="26">
        <f t="shared" si="88"/>
        <v>0</v>
      </c>
    </row>
    <row r="193" spans="1:28">
      <c r="B193" s="99">
        <f>+H193+N193+T193+Z193</f>
        <v>13068</v>
      </c>
      <c r="C193" s="26">
        <f t="shared" si="81"/>
        <v>1</v>
      </c>
      <c r="E193">
        <f>SUM(E180:E192)</f>
        <v>1381</v>
      </c>
      <c r="F193">
        <f t="shared" ref="F193:G193" si="89">SUM(F180:F192)</f>
        <v>1330</v>
      </c>
      <c r="G193">
        <f t="shared" si="89"/>
        <v>1341</v>
      </c>
      <c r="H193">
        <f>SUM(H180:H192)</f>
        <v>4052</v>
      </c>
      <c r="I193" s="26">
        <f t="shared" si="83"/>
        <v>1</v>
      </c>
      <c r="K193">
        <f t="shared" ref="K193:M193" si="90">SUM(K180:K192)</f>
        <v>1469</v>
      </c>
      <c r="L193">
        <f t="shared" si="90"/>
        <v>1498</v>
      </c>
      <c r="M193">
        <f t="shared" si="90"/>
        <v>1585</v>
      </c>
      <c r="N193">
        <f>SUM(N180:N192)</f>
        <v>4552</v>
      </c>
      <c r="O193" s="26">
        <f t="shared" si="85"/>
        <v>1</v>
      </c>
      <c r="Q193">
        <f t="shared" ref="Q193" si="91">SUM(Q180:Q192)</f>
        <v>1018</v>
      </c>
      <c r="R193">
        <f t="shared" ref="R193" si="92">SUM(R180:R192)</f>
        <v>1524</v>
      </c>
      <c r="S193">
        <f t="shared" ref="S193" si="93">SUM(S180:S192)</f>
        <v>1922</v>
      </c>
      <c r="T193">
        <f>SUM(T180:T192)</f>
        <v>4464</v>
      </c>
      <c r="U193" s="26">
        <f t="shared" si="87"/>
        <v>1.1016781836130305</v>
      </c>
      <c r="W193">
        <f t="shared" ref="W193" si="94">SUM(W180:W192)</f>
        <v>0</v>
      </c>
      <c r="X193">
        <f t="shared" ref="X193" si="95">SUM(X180:X192)</f>
        <v>0</v>
      </c>
      <c r="Y193">
        <f t="shared" ref="Y193" si="96">SUM(Y180:Y192)</f>
        <v>0</v>
      </c>
      <c r="Z193">
        <f>SUM(Z180:Z192)</f>
        <v>0</v>
      </c>
      <c r="AA193" s="26">
        <f t="shared" si="88"/>
        <v>0</v>
      </c>
    </row>
    <row r="194" spans="1:28">
      <c r="A194" t="s">
        <v>92</v>
      </c>
      <c r="D194" s="26">
        <f>SUM(C180:C192)</f>
        <v>0.99999999999999989</v>
      </c>
      <c r="J194" s="26">
        <f>SUM(I180:I192)</f>
        <v>1</v>
      </c>
      <c r="P194" s="26">
        <f>SUM(O180:O192)</f>
        <v>1.0000000000000002</v>
      </c>
      <c r="V194" s="26">
        <f>SUM(U180:U192)</f>
        <v>1.1016781836130307</v>
      </c>
      <c r="AB194" s="26">
        <f>SUM(AA180:AA192)</f>
        <v>0</v>
      </c>
    </row>
  </sheetData>
  <mergeCells count="41">
    <mergeCell ref="B51:C51"/>
    <mergeCell ref="AC51:AD51"/>
    <mergeCell ref="H51:I51"/>
    <mergeCell ref="N51:O51"/>
    <mergeCell ref="T51:U51"/>
    <mergeCell ref="Z51:AA51"/>
    <mergeCell ref="Z68:AA68"/>
    <mergeCell ref="AC68:AD68"/>
    <mergeCell ref="B68:C68"/>
    <mergeCell ref="H68:I68"/>
    <mergeCell ref="N68:O68"/>
    <mergeCell ref="T68:U68"/>
    <mergeCell ref="B86:C86"/>
    <mergeCell ref="B140:C140"/>
    <mergeCell ref="B104:C104"/>
    <mergeCell ref="H104:I104"/>
    <mergeCell ref="N104:O104"/>
    <mergeCell ref="B122:C122"/>
    <mergeCell ref="H122:I122"/>
    <mergeCell ref="N122:O122"/>
    <mergeCell ref="H140:I140"/>
    <mergeCell ref="N140:O140"/>
    <mergeCell ref="H86:I86"/>
    <mergeCell ref="N86:O86"/>
    <mergeCell ref="AC86:AD86"/>
    <mergeCell ref="T104:U104"/>
    <mergeCell ref="T122:U122"/>
    <mergeCell ref="T140:U140"/>
    <mergeCell ref="Z140:AA140"/>
    <mergeCell ref="T86:U86"/>
    <mergeCell ref="Z86:AA86"/>
    <mergeCell ref="Z122:AA122"/>
    <mergeCell ref="Z104:AA104"/>
    <mergeCell ref="H178:I178"/>
    <mergeCell ref="N178:O178"/>
    <mergeCell ref="T178:U178"/>
    <mergeCell ref="Z178:AA178"/>
    <mergeCell ref="H159:I159"/>
    <mergeCell ref="N159:O159"/>
    <mergeCell ref="T159:U159"/>
    <mergeCell ref="Z159:AA15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4"/>
  <sheetViews>
    <sheetView workbookViewId="0">
      <selection activeCell="J34" sqref="J34"/>
    </sheetView>
  </sheetViews>
  <sheetFormatPr defaultRowHeight="12.75"/>
  <cols>
    <col min="3" max="3" width="6.42578125" bestFit="1" customWidth="1"/>
    <col min="4" max="4" width="8.28515625" bestFit="1" customWidth="1"/>
    <col min="5" max="5" width="5.28515625" bestFit="1" customWidth="1"/>
    <col min="6" max="6" width="9.28515625" customWidth="1"/>
    <col min="7" max="7" width="6.42578125" bestFit="1" customWidth="1"/>
    <col min="8" max="8" width="8.28515625" bestFit="1" customWidth="1"/>
    <col min="9" max="9" width="5.28515625" bestFit="1" customWidth="1"/>
    <col min="10" max="10" width="7.42578125" bestFit="1" customWidth="1"/>
  </cols>
  <sheetData>
    <row r="2" spans="2:10">
      <c r="B2" s="13" t="s">
        <v>93</v>
      </c>
    </row>
    <row r="4" spans="2:10">
      <c r="B4" s="32"/>
      <c r="C4" s="52" t="s">
        <v>9</v>
      </c>
      <c r="D4" s="52" t="s">
        <v>10</v>
      </c>
      <c r="E4" s="52" t="s">
        <v>23</v>
      </c>
      <c r="F4" s="52"/>
      <c r="G4" s="52" t="s">
        <v>9</v>
      </c>
      <c r="H4" s="52" t="s">
        <v>10</v>
      </c>
      <c r="I4" s="52" t="s">
        <v>23</v>
      </c>
      <c r="J4" s="52" t="s">
        <v>94</v>
      </c>
    </row>
    <row r="5" spans="2:10">
      <c r="B5" s="51">
        <v>43344</v>
      </c>
      <c r="C5" s="53">
        <v>999</v>
      </c>
      <c r="D5" s="53">
        <v>499</v>
      </c>
      <c r="E5" s="53">
        <f t="shared" ref="E5:E16" si="0">SUM(C5:D5)</f>
        <v>1498</v>
      </c>
      <c r="F5" s="54">
        <v>42979</v>
      </c>
      <c r="G5" s="53">
        <v>827</v>
      </c>
      <c r="H5" s="53">
        <v>368</v>
      </c>
      <c r="I5" s="53">
        <f t="shared" ref="I5:I16" si="1">SUM(G5:H5)</f>
        <v>1195</v>
      </c>
      <c r="J5" s="53">
        <f>E5-I5</f>
        <v>303</v>
      </c>
    </row>
    <row r="6" spans="2:10">
      <c r="B6" s="51">
        <v>43374</v>
      </c>
      <c r="C6" s="53">
        <v>1148</v>
      </c>
      <c r="D6" s="53">
        <v>602</v>
      </c>
      <c r="E6" s="53">
        <f t="shared" si="0"/>
        <v>1750</v>
      </c>
      <c r="F6" s="54">
        <v>43009</v>
      </c>
      <c r="G6" s="53">
        <v>887</v>
      </c>
      <c r="H6" s="53">
        <v>389</v>
      </c>
      <c r="I6" s="53">
        <f t="shared" si="1"/>
        <v>1276</v>
      </c>
      <c r="J6" s="53">
        <f t="shared" ref="J6:J16" si="2">E6-I6</f>
        <v>474</v>
      </c>
    </row>
    <row r="7" spans="2:10">
      <c r="B7" s="51">
        <v>43405</v>
      </c>
      <c r="C7" s="53">
        <v>1281</v>
      </c>
      <c r="D7" s="53">
        <v>687</v>
      </c>
      <c r="E7" s="53">
        <f t="shared" si="0"/>
        <v>1968</v>
      </c>
      <c r="F7" s="54">
        <v>43040</v>
      </c>
      <c r="G7" s="53">
        <v>1186</v>
      </c>
      <c r="H7" s="53">
        <v>617</v>
      </c>
      <c r="I7" s="53">
        <f t="shared" si="1"/>
        <v>1803</v>
      </c>
      <c r="J7" s="53">
        <f t="shared" si="2"/>
        <v>165</v>
      </c>
    </row>
    <row r="8" spans="2:10">
      <c r="B8" s="51">
        <v>43435</v>
      </c>
      <c r="C8" s="53">
        <v>1279</v>
      </c>
      <c r="D8" s="53">
        <v>938</v>
      </c>
      <c r="E8" s="55">
        <f t="shared" si="0"/>
        <v>2217</v>
      </c>
      <c r="F8" s="54">
        <v>43070</v>
      </c>
      <c r="G8" s="53">
        <v>1221</v>
      </c>
      <c r="H8" s="53">
        <v>806</v>
      </c>
      <c r="I8" s="53">
        <f t="shared" si="1"/>
        <v>2027</v>
      </c>
      <c r="J8" s="53">
        <f t="shared" si="2"/>
        <v>190</v>
      </c>
    </row>
    <row r="9" spans="2:10">
      <c r="B9" s="51">
        <v>43466</v>
      </c>
      <c r="C9" s="53">
        <v>1434</v>
      </c>
      <c r="D9" s="53">
        <v>762</v>
      </c>
      <c r="E9" s="53">
        <f t="shared" si="0"/>
        <v>2196</v>
      </c>
      <c r="F9" s="54">
        <v>43101</v>
      </c>
      <c r="G9" s="5">
        <v>1032</v>
      </c>
      <c r="H9" s="5">
        <v>530</v>
      </c>
      <c r="I9" s="53">
        <f t="shared" si="1"/>
        <v>1562</v>
      </c>
      <c r="J9" s="53">
        <f t="shared" si="2"/>
        <v>634</v>
      </c>
    </row>
    <row r="10" spans="2:10">
      <c r="B10" s="51">
        <v>43497</v>
      </c>
      <c r="C10" s="53">
        <v>1139</v>
      </c>
      <c r="D10" s="53">
        <v>589</v>
      </c>
      <c r="E10" s="53">
        <f t="shared" si="0"/>
        <v>1728</v>
      </c>
      <c r="F10" s="54">
        <v>43132</v>
      </c>
      <c r="G10" s="53">
        <v>987</v>
      </c>
      <c r="H10" s="53">
        <v>505</v>
      </c>
      <c r="I10" s="53">
        <f t="shared" si="1"/>
        <v>1492</v>
      </c>
      <c r="J10" s="53">
        <f t="shared" si="2"/>
        <v>236</v>
      </c>
    </row>
    <row r="11" spans="2:10">
      <c r="B11" s="51">
        <v>43525</v>
      </c>
      <c r="C11" s="53">
        <v>974</v>
      </c>
      <c r="D11" s="53">
        <v>552</v>
      </c>
      <c r="E11" s="53">
        <f t="shared" si="0"/>
        <v>1526</v>
      </c>
      <c r="F11" s="54">
        <v>43160</v>
      </c>
      <c r="G11" s="53">
        <v>1079</v>
      </c>
      <c r="H11" s="53">
        <v>642</v>
      </c>
      <c r="I11" s="53">
        <f t="shared" si="1"/>
        <v>1721</v>
      </c>
      <c r="J11" s="53">
        <f t="shared" si="2"/>
        <v>-195</v>
      </c>
    </row>
    <row r="12" spans="2:10">
      <c r="B12" s="51">
        <v>43556</v>
      </c>
      <c r="C12" s="53">
        <v>887</v>
      </c>
      <c r="D12" s="53">
        <v>565</v>
      </c>
      <c r="E12" s="53">
        <f t="shared" si="0"/>
        <v>1452</v>
      </c>
      <c r="F12" s="54">
        <v>43191</v>
      </c>
      <c r="G12" s="53">
        <v>913</v>
      </c>
      <c r="H12" s="53">
        <v>451</v>
      </c>
      <c r="I12" s="53">
        <f t="shared" si="1"/>
        <v>1364</v>
      </c>
      <c r="J12" s="53">
        <f t="shared" si="2"/>
        <v>88</v>
      </c>
    </row>
    <row r="13" spans="2:10">
      <c r="B13" s="51">
        <v>43586</v>
      </c>
      <c r="C13" s="53">
        <v>979</v>
      </c>
      <c r="D13" s="53">
        <v>539</v>
      </c>
      <c r="E13" s="53">
        <f t="shared" si="0"/>
        <v>1518</v>
      </c>
      <c r="F13" s="54">
        <v>43221</v>
      </c>
      <c r="G13" s="53">
        <v>875</v>
      </c>
      <c r="H13" s="53">
        <v>427</v>
      </c>
      <c r="I13" s="53">
        <f t="shared" si="1"/>
        <v>1302</v>
      </c>
      <c r="J13" s="53">
        <f t="shared" si="2"/>
        <v>216</v>
      </c>
    </row>
    <row r="14" spans="2:10">
      <c r="B14" s="51">
        <v>43617</v>
      </c>
      <c r="C14" s="53">
        <v>823</v>
      </c>
      <c r="D14" s="53">
        <v>403</v>
      </c>
      <c r="E14" s="53">
        <f t="shared" si="0"/>
        <v>1226</v>
      </c>
      <c r="F14" s="54">
        <v>43252</v>
      </c>
      <c r="G14" s="53">
        <v>848</v>
      </c>
      <c r="H14" s="53">
        <v>353</v>
      </c>
      <c r="I14" s="53">
        <f t="shared" si="1"/>
        <v>1201</v>
      </c>
      <c r="J14" s="53">
        <f t="shared" si="2"/>
        <v>25</v>
      </c>
    </row>
    <row r="15" spans="2:10">
      <c r="B15" s="51">
        <v>43647</v>
      </c>
      <c r="C15" s="53">
        <v>851</v>
      </c>
      <c r="D15" s="53">
        <v>520</v>
      </c>
      <c r="E15" s="53">
        <f t="shared" si="0"/>
        <v>1371</v>
      </c>
      <c r="F15" s="54">
        <v>43282</v>
      </c>
      <c r="G15" s="53">
        <v>771</v>
      </c>
      <c r="H15" s="53">
        <v>422</v>
      </c>
      <c r="I15" s="53">
        <f t="shared" si="1"/>
        <v>1193</v>
      </c>
      <c r="J15" s="53">
        <f t="shared" si="2"/>
        <v>178</v>
      </c>
    </row>
    <row r="16" spans="2:10">
      <c r="B16" s="51">
        <v>43678</v>
      </c>
      <c r="C16" s="53">
        <v>783</v>
      </c>
      <c r="D16" s="53">
        <v>483</v>
      </c>
      <c r="E16" s="53">
        <f t="shared" si="0"/>
        <v>1266</v>
      </c>
      <c r="F16" s="54">
        <v>43313</v>
      </c>
      <c r="G16" s="53">
        <v>938</v>
      </c>
      <c r="H16" s="53">
        <v>470</v>
      </c>
      <c r="I16" s="53">
        <f t="shared" si="1"/>
        <v>1408</v>
      </c>
      <c r="J16" s="53">
        <f t="shared" si="2"/>
        <v>-142</v>
      </c>
    </row>
    <row r="17" spans="2:10">
      <c r="C17" s="5"/>
      <c r="D17" s="5"/>
      <c r="E17" s="5"/>
      <c r="F17" s="5"/>
      <c r="G17" s="5"/>
      <c r="H17" s="5"/>
      <c r="I17" s="5"/>
      <c r="J17" s="5"/>
    </row>
    <row r="18" spans="2:10">
      <c r="B18" s="29" t="s">
        <v>95</v>
      </c>
      <c r="C18" s="5"/>
      <c r="D18" s="5"/>
      <c r="E18" s="5"/>
      <c r="F18" s="5"/>
      <c r="G18" s="5"/>
      <c r="H18" s="5"/>
      <c r="I18" s="5"/>
      <c r="J18" s="5"/>
    </row>
    <row r="19" spans="2:10">
      <c r="B19" s="32"/>
      <c r="C19" s="28" t="s">
        <v>9</v>
      </c>
      <c r="D19" s="28" t="s">
        <v>10</v>
      </c>
      <c r="E19" s="28" t="s">
        <v>23</v>
      </c>
      <c r="F19" s="28"/>
      <c r="G19" s="28" t="s">
        <v>9</v>
      </c>
      <c r="H19" s="28" t="s">
        <v>10</v>
      </c>
      <c r="I19" s="28" t="s">
        <v>23</v>
      </c>
      <c r="J19" s="52" t="s">
        <v>94</v>
      </c>
    </row>
    <row r="20" spans="2:10">
      <c r="B20" s="51">
        <v>43344</v>
      </c>
      <c r="C20" s="5">
        <v>255</v>
      </c>
      <c r="D20" s="5">
        <v>371</v>
      </c>
      <c r="E20" s="5">
        <v>201</v>
      </c>
      <c r="F20" s="54">
        <v>42979</v>
      </c>
      <c r="G20" s="5">
        <v>264</v>
      </c>
      <c r="H20" s="5">
        <v>374</v>
      </c>
      <c r="I20" s="5">
        <v>181</v>
      </c>
      <c r="J20" s="53">
        <f>E20-I20</f>
        <v>20</v>
      </c>
    </row>
    <row r="21" spans="2:10">
      <c r="B21" s="51">
        <v>43374</v>
      </c>
      <c r="C21" s="5">
        <v>314</v>
      </c>
      <c r="D21" s="5">
        <v>440</v>
      </c>
      <c r="E21" s="5">
        <v>241</v>
      </c>
      <c r="F21" s="54">
        <v>43009</v>
      </c>
      <c r="G21" s="5">
        <v>274</v>
      </c>
      <c r="H21" s="5">
        <v>378</v>
      </c>
      <c r="I21" s="5">
        <v>199</v>
      </c>
      <c r="J21" s="53">
        <f t="shared" ref="J21:J31" si="3">E21-I21</f>
        <v>42</v>
      </c>
    </row>
    <row r="22" spans="2:10">
      <c r="B22" s="51">
        <v>43405</v>
      </c>
      <c r="C22" s="5">
        <v>356</v>
      </c>
      <c r="D22" s="5">
        <v>497</v>
      </c>
      <c r="E22" s="5">
        <v>303</v>
      </c>
      <c r="F22" s="54">
        <v>43040</v>
      </c>
      <c r="G22" s="5">
        <v>424</v>
      </c>
      <c r="H22" s="5">
        <v>580</v>
      </c>
      <c r="I22" s="5">
        <v>358</v>
      </c>
      <c r="J22" s="53">
        <f t="shared" si="3"/>
        <v>-55</v>
      </c>
    </row>
    <row r="23" spans="2:10">
      <c r="B23" s="51">
        <v>43435</v>
      </c>
      <c r="C23" s="5">
        <v>336</v>
      </c>
      <c r="D23" s="5">
        <v>480</v>
      </c>
      <c r="E23" s="5">
        <v>319</v>
      </c>
      <c r="F23" s="54">
        <v>43070</v>
      </c>
      <c r="G23" s="5">
        <v>443</v>
      </c>
      <c r="H23" s="5">
        <v>646</v>
      </c>
      <c r="I23" s="5">
        <v>412</v>
      </c>
      <c r="J23" s="53">
        <f t="shared" si="3"/>
        <v>-93</v>
      </c>
    </row>
    <row r="24" spans="2:10">
      <c r="B24" s="51">
        <v>43466</v>
      </c>
      <c r="C24" s="5">
        <v>431</v>
      </c>
      <c r="D24" s="5">
        <v>640</v>
      </c>
      <c r="E24" s="5">
        <v>372</v>
      </c>
      <c r="F24" s="54">
        <v>43101</v>
      </c>
      <c r="G24" s="5">
        <v>406</v>
      </c>
      <c r="H24" s="5">
        <v>569</v>
      </c>
      <c r="I24" s="5">
        <v>345</v>
      </c>
      <c r="J24" s="53">
        <f t="shared" si="3"/>
        <v>27</v>
      </c>
    </row>
    <row r="25" spans="2:10">
      <c r="B25" s="51">
        <v>43497</v>
      </c>
      <c r="C25" s="5">
        <v>342</v>
      </c>
      <c r="D25" s="5">
        <v>479</v>
      </c>
      <c r="E25" s="5">
        <v>293</v>
      </c>
      <c r="F25" s="54">
        <v>43132</v>
      </c>
      <c r="G25" s="5">
        <v>365</v>
      </c>
      <c r="H25" s="5">
        <v>502</v>
      </c>
      <c r="I25" s="5">
        <v>306</v>
      </c>
      <c r="J25" s="53">
        <f t="shared" si="3"/>
        <v>-13</v>
      </c>
    </row>
    <row r="26" spans="2:10">
      <c r="B26" s="51">
        <v>43525</v>
      </c>
      <c r="C26" s="5">
        <v>232</v>
      </c>
      <c r="D26" s="5">
        <v>321</v>
      </c>
      <c r="E26" s="5">
        <v>223</v>
      </c>
      <c r="F26" s="54">
        <v>43160</v>
      </c>
      <c r="G26" s="5">
        <v>390</v>
      </c>
      <c r="H26" s="5">
        <v>570</v>
      </c>
      <c r="I26" s="5">
        <v>361</v>
      </c>
      <c r="J26" s="53">
        <f t="shared" si="3"/>
        <v>-138</v>
      </c>
    </row>
    <row r="27" spans="2:10">
      <c r="B27" s="51">
        <v>43556</v>
      </c>
      <c r="C27" s="5">
        <v>211</v>
      </c>
      <c r="D27" s="5">
        <v>297</v>
      </c>
      <c r="E27" s="5">
        <v>187</v>
      </c>
      <c r="F27" s="54">
        <v>43191</v>
      </c>
      <c r="G27" s="5">
        <v>279</v>
      </c>
      <c r="H27" s="5">
        <v>382</v>
      </c>
      <c r="I27" s="5">
        <v>251</v>
      </c>
      <c r="J27" s="53">
        <f t="shared" si="3"/>
        <v>-64</v>
      </c>
    </row>
    <row r="28" spans="2:10">
      <c r="B28" s="51">
        <v>43586</v>
      </c>
      <c r="C28" s="5">
        <v>220</v>
      </c>
      <c r="D28" s="5">
        <v>304</v>
      </c>
      <c r="E28" s="5">
        <v>184</v>
      </c>
      <c r="F28" s="54">
        <v>43221</v>
      </c>
      <c r="G28" s="5">
        <v>207</v>
      </c>
      <c r="H28" s="5">
        <v>293</v>
      </c>
      <c r="I28" s="5">
        <v>158</v>
      </c>
      <c r="J28" s="53">
        <f t="shared" si="3"/>
        <v>26</v>
      </c>
    </row>
    <row r="29" spans="2:10">
      <c r="B29" s="51">
        <v>43617</v>
      </c>
      <c r="C29" s="5">
        <v>193</v>
      </c>
      <c r="D29" s="5">
        <v>187</v>
      </c>
      <c r="E29" s="5">
        <v>108</v>
      </c>
      <c r="F29" s="54">
        <v>43252</v>
      </c>
      <c r="G29" s="5">
        <v>200</v>
      </c>
      <c r="H29" s="5">
        <v>263</v>
      </c>
      <c r="I29" s="5">
        <v>128</v>
      </c>
      <c r="J29" s="53">
        <f t="shared" si="3"/>
        <v>-20</v>
      </c>
    </row>
    <row r="30" spans="2:10">
      <c r="B30" s="51">
        <v>43647</v>
      </c>
      <c r="C30" s="5">
        <v>204</v>
      </c>
      <c r="D30" s="5">
        <v>264</v>
      </c>
      <c r="E30" s="5">
        <v>213</v>
      </c>
      <c r="F30" s="54">
        <v>43282</v>
      </c>
      <c r="G30" s="5">
        <v>171</v>
      </c>
      <c r="H30" s="5">
        <v>235</v>
      </c>
      <c r="I30" s="5">
        <v>159</v>
      </c>
      <c r="J30" s="53">
        <f t="shared" si="3"/>
        <v>54</v>
      </c>
    </row>
    <row r="31" spans="2:10">
      <c r="B31" s="51">
        <v>43678</v>
      </c>
      <c r="C31" s="5">
        <v>161</v>
      </c>
      <c r="D31" s="5">
        <v>216</v>
      </c>
      <c r="E31" s="5">
        <v>162</v>
      </c>
      <c r="F31" s="54">
        <v>43313</v>
      </c>
      <c r="G31" s="5">
        <v>226</v>
      </c>
      <c r="H31" s="5">
        <v>318</v>
      </c>
      <c r="I31" s="5">
        <v>199</v>
      </c>
      <c r="J31" s="53">
        <f t="shared" si="3"/>
        <v>-37</v>
      </c>
    </row>
    <row r="34" spans="2:7">
      <c r="B34" s="13" t="s">
        <v>96</v>
      </c>
      <c r="C34" s="13"/>
      <c r="D34" s="13"/>
      <c r="E34" s="13"/>
      <c r="F34" s="13"/>
      <c r="G3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3:H98"/>
  <sheetViews>
    <sheetView workbookViewId="0">
      <selection activeCell="A85" sqref="A85"/>
    </sheetView>
  </sheetViews>
  <sheetFormatPr defaultRowHeight="12.75"/>
  <cols>
    <col min="2" max="2" width="24.28515625" customWidth="1"/>
    <col min="3" max="4" width="13.42578125" customWidth="1"/>
    <col min="5" max="5" width="9.7109375" customWidth="1"/>
    <col min="6" max="6" width="7.5703125" customWidth="1"/>
    <col min="7" max="7" width="9.42578125" customWidth="1"/>
    <col min="8" max="8" width="8.140625" customWidth="1"/>
  </cols>
  <sheetData>
    <row r="3" spans="2:8">
      <c r="E3" t="s">
        <v>8</v>
      </c>
      <c r="F3" t="s">
        <v>9</v>
      </c>
      <c r="G3" t="s">
        <v>10</v>
      </c>
      <c r="H3" t="s">
        <v>23</v>
      </c>
    </row>
    <row r="4" spans="2:8">
      <c r="B4" s="7" t="s">
        <v>60</v>
      </c>
      <c r="C4" s="8">
        <f t="shared" ref="C4:C15" si="0">H4/H$19</f>
        <v>0.30079750346740636</v>
      </c>
      <c r="D4" s="7">
        <v>1735</v>
      </c>
      <c r="E4" s="7">
        <v>920</v>
      </c>
      <c r="F4" s="7">
        <v>1230</v>
      </c>
      <c r="G4" s="7">
        <v>505</v>
      </c>
      <c r="H4" s="7">
        <v>1735</v>
      </c>
    </row>
    <row r="5" spans="2:8">
      <c r="B5" s="7" t="s">
        <v>59</v>
      </c>
      <c r="C5" s="8">
        <f t="shared" si="0"/>
        <v>0.19226768377253814</v>
      </c>
      <c r="D5" s="7">
        <v>1109</v>
      </c>
      <c r="E5" s="7">
        <v>574</v>
      </c>
      <c r="F5" s="7">
        <v>769</v>
      </c>
      <c r="G5" s="7">
        <v>340</v>
      </c>
      <c r="H5" s="7">
        <v>1109</v>
      </c>
    </row>
    <row r="6" spans="2:8">
      <c r="B6" s="7" t="s">
        <v>64</v>
      </c>
      <c r="C6" s="8">
        <f t="shared" si="0"/>
        <v>1.2829403606102635E-2</v>
      </c>
      <c r="D6" s="7">
        <v>74</v>
      </c>
      <c r="E6" s="7">
        <v>35</v>
      </c>
      <c r="F6" s="7">
        <v>40</v>
      </c>
      <c r="G6" s="7">
        <v>34</v>
      </c>
      <c r="H6" s="7">
        <v>74</v>
      </c>
    </row>
    <row r="7" spans="2:8">
      <c r="B7" s="7" t="s">
        <v>66</v>
      </c>
      <c r="C7" s="8">
        <f t="shared" si="0"/>
        <v>0.18862690707350901</v>
      </c>
      <c r="D7" s="7">
        <v>1088</v>
      </c>
      <c r="E7" s="7">
        <v>499</v>
      </c>
      <c r="F7" s="7">
        <v>717</v>
      </c>
      <c r="G7" s="7">
        <v>371</v>
      </c>
      <c r="H7" s="7">
        <v>1088</v>
      </c>
    </row>
    <row r="8" spans="2:8">
      <c r="B8" s="7" t="s">
        <v>63</v>
      </c>
      <c r="C8" s="8">
        <f t="shared" si="0"/>
        <v>5.2011095700416092E-3</v>
      </c>
      <c r="D8" s="7">
        <v>30</v>
      </c>
      <c r="E8" s="7">
        <v>19</v>
      </c>
      <c r="F8" s="7">
        <v>21</v>
      </c>
      <c r="G8" s="7">
        <v>9</v>
      </c>
      <c r="H8" s="7">
        <v>30</v>
      </c>
    </row>
    <row r="9" spans="2:8">
      <c r="B9" s="7" t="s">
        <v>67</v>
      </c>
      <c r="C9" s="8">
        <f t="shared" si="0"/>
        <v>7.6976421636615805E-2</v>
      </c>
      <c r="D9" s="7">
        <v>444</v>
      </c>
      <c r="E9" s="7">
        <v>216</v>
      </c>
      <c r="F9" s="7">
        <v>282</v>
      </c>
      <c r="G9" s="7">
        <v>162</v>
      </c>
      <c r="H9" s="7">
        <v>444</v>
      </c>
    </row>
    <row r="10" spans="2:8">
      <c r="B10" s="7" t="s">
        <v>62</v>
      </c>
      <c r="C10" s="8">
        <f t="shared" si="0"/>
        <v>7.4549237170596389E-2</v>
      </c>
      <c r="D10" s="7">
        <v>430</v>
      </c>
      <c r="E10" s="7">
        <v>205</v>
      </c>
      <c r="F10" s="7">
        <v>287</v>
      </c>
      <c r="G10" s="7">
        <v>143</v>
      </c>
      <c r="H10" s="7">
        <v>430</v>
      </c>
    </row>
    <row r="11" spans="2:8">
      <c r="B11" s="7" t="s">
        <v>69</v>
      </c>
      <c r="C11" s="8">
        <f t="shared" si="0"/>
        <v>9.8821081830790577E-3</v>
      </c>
      <c r="D11" s="7">
        <v>57</v>
      </c>
      <c r="E11" s="7">
        <v>36</v>
      </c>
      <c r="F11" s="7">
        <v>44</v>
      </c>
      <c r="G11" s="7">
        <v>13</v>
      </c>
      <c r="H11" s="7">
        <v>57</v>
      </c>
    </row>
    <row r="12" spans="2:8">
      <c r="B12" s="7" t="s">
        <v>65</v>
      </c>
      <c r="C12" s="8">
        <f t="shared" si="0"/>
        <v>5.8772538141470182E-2</v>
      </c>
      <c r="D12" s="7">
        <v>339</v>
      </c>
      <c r="E12" s="7">
        <v>263</v>
      </c>
      <c r="F12" s="7">
        <v>294</v>
      </c>
      <c r="G12" s="7">
        <v>45</v>
      </c>
      <c r="H12" s="7">
        <v>339</v>
      </c>
    </row>
    <row r="13" spans="2:8">
      <c r="B13" s="7" t="s">
        <v>68</v>
      </c>
      <c r="C13" s="8">
        <f t="shared" si="0"/>
        <v>3.7101248266296807E-2</v>
      </c>
      <c r="D13" s="7">
        <v>214</v>
      </c>
      <c r="E13" s="7">
        <v>108</v>
      </c>
      <c r="F13" s="7">
        <v>140</v>
      </c>
      <c r="G13" s="7">
        <v>74</v>
      </c>
      <c r="H13" s="7">
        <v>214</v>
      </c>
    </row>
    <row r="14" spans="2:8">
      <c r="B14" s="7" t="s">
        <v>70</v>
      </c>
      <c r="C14" s="8">
        <f t="shared" si="0"/>
        <v>3.3287101248266296E-2</v>
      </c>
      <c r="D14" s="7">
        <v>192</v>
      </c>
      <c r="E14" s="7">
        <v>95</v>
      </c>
      <c r="F14" s="7">
        <v>131</v>
      </c>
      <c r="G14" s="7">
        <v>61</v>
      </c>
      <c r="H14" s="7">
        <v>192</v>
      </c>
    </row>
    <row r="15" spans="2:8">
      <c r="B15" s="7" t="s">
        <v>61</v>
      </c>
      <c r="C15" s="8">
        <f t="shared" si="0"/>
        <v>9.7087378640776691E-3</v>
      </c>
      <c r="D15" s="7">
        <v>56</v>
      </c>
      <c r="E15" s="7">
        <v>18</v>
      </c>
      <c r="F15" s="7">
        <v>25</v>
      </c>
      <c r="G15" s="7">
        <v>31</v>
      </c>
      <c r="H15" s="7">
        <v>56</v>
      </c>
    </row>
    <row r="19" spans="1:8">
      <c r="H19">
        <f>SUM(H4:H18)</f>
        <v>5768</v>
      </c>
    </row>
    <row r="21" spans="1:8">
      <c r="B21" s="11" t="s">
        <v>60</v>
      </c>
      <c r="C21" s="29"/>
      <c r="D21" s="11">
        <v>1255</v>
      </c>
      <c r="E21" s="11">
        <v>515</v>
      </c>
      <c r="F21" s="11">
        <v>1770</v>
      </c>
      <c r="G21" s="11">
        <v>30</v>
      </c>
      <c r="H21" s="57">
        <f>F21/F$33</f>
        <v>0.29944171882930132</v>
      </c>
    </row>
    <row r="22" spans="1:8">
      <c r="B22" s="11" t="s">
        <v>59</v>
      </c>
      <c r="C22" s="29"/>
      <c r="D22" s="11">
        <v>784</v>
      </c>
      <c r="E22" s="11">
        <v>349</v>
      </c>
      <c r="F22" s="11">
        <v>1133</v>
      </c>
      <c r="G22" s="11">
        <v>19.399999999999999</v>
      </c>
      <c r="H22" s="57">
        <f t="shared" ref="H22:H32" si="1">F22/F$33</f>
        <v>0.19167653527321943</v>
      </c>
    </row>
    <row r="23" spans="1:8">
      <c r="A23" s="2"/>
      <c r="B23" s="11" t="s">
        <v>66</v>
      </c>
      <c r="C23" s="29"/>
      <c r="D23" s="11">
        <v>735</v>
      </c>
      <c r="E23" s="11">
        <v>384</v>
      </c>
      <c r="F23" s="11">
        <v>1119</v>
      </c>
      <c r="G23" s="11">
        <v>19</v>
      </c>
      <c r="H23" s="57">
        <f t="shared" si="1"/>
        <v>0.18930806970055827</v>
      </c>
    </row>
    <row r="24" spans="1:8">
      <c r="B24" s="11" t="s">
        <v>67</v>
      </c>
      <c r="C24" s="29"/>
      <c r="D24" s="11">
        <v>292</v>
      </c>
      <c r="E24" s="11">
        <v>163</v>
      </c>
      <c r="F24" s="11">
        <v>455</v>
      </c>
      <c r="G24" s="11">
        <v>7.6</v>
      </c>
      <c r="H24" s="57">
        <f t="shared" si="1"/>
        <v>7.6975131111487058E-2</v>
      </c>
    </row>
    <row r="25" spans="1:8">
      <c r="B25" s="11" t="s">
        <v>62</v>
      </c>
      <c r="C25" s="29"/>
      <c r="D25" s="11">
        <v>301</v>
      </c>
      <c r="E25" s="11">
        <v>153</v>
      </c>
      <c r="F25" s="11">
        <v>454</v>
      </c>
      <c r="G25" s="11">
        <v>7.5</v>
      </c>
      <c r="H25" s="57">
        <f t="shared" si="1"/>
        <v>7.6805954999154116E-2</v>
      </c>
    </row>
    <row r="26" spans="1:8">
      <c r="B26" s="11" t="s">
        <v>65</v>
      </c>
      <c r="C26" s="29"/>
      <c r="D26" s="11">
        <v>303</v>
      </c>
      <c r="E26" s="11">
        <v>45</v>
      </c>
      <c r="F26" s="11">
        <v>348</v>
      </c>
      <c r="G26" s="11">
        <v>5.8</v>
      </c>
      <c r="H26" s="57">
        <f t="shared" si="1"/>
        <v>5.8873287091862632E-2</v>
      </c>
    </row>
    <row r="27" spans="1:8">
      <c r="B27" s="11" t="s">
        <v>70</v>
      </c>
      <c r="C27" s="29"/>
      <c r="D27" s="11">
        <v>131</v>
      </c>
      <c r="E27" s="11">
        <v>61</v>
      </c>
      <c r="F27" s="11">
        <v>192</v>
      </c>
      <c r="G27" s="11">
        <v>3.7</v>
      </c>
      <c r="H27" s="57">
        <f t="shared" si="1"/>
        <v>3.2481813567924206E-2</v>
      </c>
    </row>
    <row r="28" spans="1:8">
      <c r="B28" s="11" t="s">
        <v>68</v>
      </c>
      <c r="D28" s="11">
        <v>145</v>
      </c>
      <c r="E28" s="11">
        <v>76</v>
      </c>
      <c r="F28" s="11">
        <v>221</v>
      </c>
      <c r="G28" s="11">
        <v>3.4</v>
      </c>
      <c r="H28" s="57">
        <f t="shared" si="1"/>
        <v>3.7387920825579429E-2</v>
      </c>
    </row>
    <row r="29" spans="1:8">
      <c r="B29" s="11" t="s">
        <v>64</v>
      </c>
      <c r="D29" s="11">
        <v>42</v>
      </c>
      <c r="E29" s="11">
        <v>34</v>
      </c>
      <c r="F29" s="11">
        <v>76</v>
      </c>
      <c r="G29" s="11">
        <v>1.2</v>
      </c>
      <c r="H29" s="57">
        <f t="shared" si="1"/>
        <v>1.2857384537303333E-2</v>
      </c>
    </row>
    <row r="30" spans="1:8">
      <c r="B30" s="11" t="s">
        <v>69</v>
      </c>
      <c r="C30" s="29"/>
      <c r="D30" s="11">
        <v>44</v>
      </c>
      <c r="E30" s="11">
        <v>13</v>
      </c>
      <c r="F30" s="11">
        <v>57</v>
      </c>
      <c r="G30" s="11">
        <v>1.1000000000000001</v>
      </c>
      <c r="H30" s="57">
        <f t="shared" si="1"/>
        <v>9.6430384029774999E-3</v>
      </c>
    </row>
    <row r="31" spans="1:8">
      <c r="B31" s="11" t="s">
        <v>61</v>
      </c>
      <c r="D31" s="11">
        <v>25</v>
      </c>
      <c r="E31" s="11">
        <v>31</v>
      </c>
      <c r="F31" s="11">
        <v>56</v>
      </c>
      <c r="G31" s="11">
        <v>0.9</v>
      </c>
      <c r="H31" s="57">
        <f t="shared" si="1"/>
        <v>9.4738622906445618E-3</v>
      </c>
    </row>
    <row r="32" spans="1:8">
      <c r="B32" s="11" t="s">
        <v>63</v>
      </c>
      <c r="C32" s="29"/>
      <c r="D32" s="11">
        <v>21</v>
      </c>
      <c r="E32" s="11">
        <v>9</v>
      </c>
      <c r="F32" s="11">
        <v>30</v>
      </c>
      <c r="G32" s="11">
        <v>0.6</v>
      </c>
      <c r="H32" s="57">
        <f t="shared" si="1"/>
        <v>5.075283369988158E-3</v>
      </c>
    </row>
    <row r="33" spans="1:7">
      <c r="B33" s="12" t="s">
        <v>23</v>
      </c>
      <c r="C33" s="29"/>
      <c r="D33" s="12">
        <v>4078</v>
      </c>
      <c r="E33" s="12">
        <v>1833</v>
      </c>
      <c r="F33" s="12">
        <v>5911</v>
      </c>
      <c r="G33" s="12">
        <f>SUM(G21:G32)</f>
        <v>100.2</v>
      </c>
    </row>
    <row r="40" spans="1:7">
      <c r="B40" s="58"/>
    </row>
    <row r="41" spans="1:7" ht="25.5">
      <c r="A41" s="73">
        <v>2016</v>
      </c>
      <c r="B41" s="65" t="s">
        <v>59</v>
      </c>
      <c r="C41" s="59">
        <v>1860</v>
      </c>
      <c r="D41" s="59" t="s">
        <v>97</v>
      </c>
      <c r="E41" s="59" t="s">
        <v>98</v>
      </c>
      <c r="F41" s="59">
        <v>3950</v>
      </c>
      <c r="G41" s="67">
        <f t="shared" ref="G41:G52" si="2">F41/F$54</f>
        <v>0.23881499395405079</v>
      </c>
    </row>
    <row r="42" spans="1:7" ht="25.5">
      <c r="B42" s="59" t="s">
        <v>60</v>
      </c>
      <c r="C42" s="59">
        <v>2498</v>
      </c>
      <c r="D42" s="59" t="s">
        <v>99</v>
      </c>
      <c r="E42" s="59" t="s">
        <v>100</v>
      </c>
      <c r="F42" s="59">
        <v>4951</v>
      </c>
      <c r="G42" s="67">
        <f t="shared" si="2"/>
        <v>0.29933494558645707</v>
      </c>
    </row>
    <row r="43" spans="1:7" ht="25.5">
      <c r="B43" s="59" t="s">
        <v>61</v>
      </c>
      <c r="C43" s="59">
        <v>16</v>
      </c>
      <c r="D43" s="59" t="s">
        <v>101</v>
      </c>
      <c r="E43" s="59" t="s">
        <v>102</v>
      </c>
      <c r="F43" s="59">
        <v>63</v>
      </c>
      <c r="G43" s="67">
        <f t="shared" si="2"/>
        <v>3.8089480048367594E-3</v>
      </c>
    </row>
    <row r="44" spans="1:7" ht="25.5">
      <c r="B44" s="59" t="s">
        <v>62</v>
      </c>
      <c r="C44" s="59">
        <v>511</v>
      </c>
      <c r="D44" s="59" t="s">
        <v>103</v>
      </c>
      <c r="E44" s="59" t="s">
        <v>104</v>
      </c>
      <c r="F44" s="59">
        <v>1049</v>
      </c>
      <c r="G44" s="67">
        <f t="shared" si="2"/>
        <v>6.3422007255139051E-2</v>
      </c>
    </row>
    <row r="45" spans="1:7" ht="25.5">
      <c r="B45" s="59" t="s">
        <v>63</v>
      </c>
      <c r="C45" s="59">
        <v>86</v>
      </c>
      <c r="D45" s="59" t="s">
        <v>105</v>
      </c>
      <c r="E45" s="59" t="s">
        <v>106</v>
      </c>
      <c r="F45" s="59">
        <v>197</v>
      </c>
      <c r="G45" s="67">
        <f t="shared" si="2"/>
        <v>1.1910519951632406E-2</v>
      </c>
    </row>
    <row r="46" spans="1:7" ht="25.5">
      <c r="B46" s="59" t="s">
        <v>64</v>
      </c>
      <c r="C46" s="59">
        <v>96</v>
      </c>
      <c r="D46" s="59" t="s">
        <v>107</v>
      </c>
      <c r="E46" s="59" t="s">
        <v>108</v>
      </c>
      <c r="F46" s="59">
        <v>217</v>
      </c>
      <c r="G46" s="67">
        <f t="shared" si="2"/>
        <v>1.3119709794437726E-2</v>
      </c>
    </row>
    <row r="47" spans="1:7" ht="25.5">
      <c r="B47" s="59" t="s">
        <v>65</v>
      </c>
      <c r="C47" s="59">
        <v>302</v>
      </c>
      <c r="D47" s="59" t="s">
        <v>109</v>
      </c>
      <c r="E47" s="59" t="s">
        <v>110</v>
      </c>
      <c r="F47" s="59">
        <v>429</v>
      </c>
      <c r="G47" s="67">
        <f t="shared" si="2"/>
        <v>2.5937122128174124E-2</v>
      </c>
    </row>
    <row r="48" spans="1:7" ht="25.5">
      <c r="B48" s="59" t="s">
        <v>66</v>
      </c>
      <c r="C48" s="59">
        <v>1798</v>
      </c>
      <c r="D48" s="59" t="s">
        <v>111</v>
      </c>
      <c r="E48" s="59" t="s">
        <v>112</v>
      </c>
      <c r="F48" s="59">
        <v>3694</v>
      </c>
      <c r="G48" s="67">
        <f t="shared" si="2"/>
        <v>0.22333736396614268</v>
      </c>
    </row>
    <row r="49" spans="1:7" ht="25.5">
      <c r="B49" s="59" t="s">
        <v>89</v>
      </c>
      <c r="C49" s="59">
        <v>7</v>
      </c>
      <c r="D49" s="59" t="s">
        <v>113</v>
      </c>
      <c r="E49" s="59" t="s">
        <v>114</v>
      </c>
      <c r="F49" s="59">
        <v>14</v>
      </c>
      <c r="G49" s="67">
        <f t="shared" si="2"/>
        <v>8.4643288996372429E-4</v>
      </c>
    </row>
    <row r="50" spans="1:7" ht="25.5">
      <c r="B50" s="59" t="s">
        <v>67</v>
      </c>
      <c r="C50" s="59">
        <v>698</v>
      </c>
      <c r="D50" s="59" t="s">
        <v>115</v>
      </c>
      <c r="E50" s="59" t="s">
        <v>116</v>
      </c>
      <c r="F50" s="59">
        <v>1378</v>
      </c>
      <c r="G50" s="67">
        <f t="shared" si="2"/>
        <v>8.3313180169286571E-2</v>
      </c>
    </row>
    <row r="51" spans="1:7">
      <c r="B51" s="59" t="s">
        <v>117</v>
      </c>
      <c r="C51" s="59">
        <v>2</v>
      </c>
      <c r="D51" s="59" t="s">
        <v>118</v>
      </c>
      <c r="E51" s="59" t="s">
        <v>119</v>
      </c>
      <c r="F51" s="59">
        <v>5</v>
      </c>
      <c r="G51" s="67">
        <f t="shared" si="2"/>
        <v>3.0229746070133009E-4</v>
      </c>
    </row>
    <row r="52" spans="1:7" ht="25.5">
      <c r="B52" s="59" t="s">
        <v>69</v>
      </c>
      <c r="C52" s="59">
        <v>182</v>
      </c>
      <c r="D52" s="59" t="s">
        <v>120</v>
      </c>
      <c r="E52" s="59" t="s">
        <v>121</v>
      </c>
      <c r="F52" s="59">
        <v>358</v>
      </c>
      <c r="G52" s="67">
        <f t="shared" si="2"/>
        <v>2.1644498186215236E-2</v>
      </c>
    </row>
    <row r="53" spans="1:7" ht="25.5">
      <c r="B53" s="59" t="s">
        <v>70</v>
      </c>
      <c r="C53" s="59">
        <v>102</v>
      </c>
      <c r="D53" s="59" t="s">
        <v>122</v>
      </c>
      <c r="E53" s="59" t="s">
        <v>123</v>
      </c>
      <c r="F53" s="66">
        <v>235</v>
      </c>
      <c r="G53" s="68">
        <f>F53/F$54</f>
        <v>1.4207980652962516E-2</v>
      </c>
    </row>
    <row r="54" spans="1:7" ht="24.75" customHeight="1">
      <c r="D54" s="7"/>
      <c r="E54" s="7"/>
      <c r="F54" s="74">
        <f>SUM(F41:F53)</f>
        <v>16540</v>
      </c>
      <c r="G54" s="75">
        <f>SUM(G41:G53)</f>
        <v>1</v>
      </c>
    </row>
    <row r="56" spans="1:7">
      <c r="G56" s="14"/>
    </row>
    <row r="57" spans="1:7" ht="25.5">
      <c r="A57" s="73">
        <v>2017</v>
      </c>
      <c r="B57" s="65" t="s">
        <v>59</v>
      </c>
      <c r="C57" s="60">
        <v>2286</v>
      </c>
      <c r="D57" s="61" t="s">
        <v>124</v>
      </c>
      <c r="E57" s="61" t="s">
        <v>125</v>
      </c>
      <c r="F57" s="60">
        <v>4892</v>
      </c>
      <c r="G57" s="62">
        <f>F57/F$69</f>
        <v>0.2790963030579644</v>
      </c>
    </row>
    <row r="58" spans="1:7" ht="25.5">
      <c r="B58" s="59" t="s">
        <v>60</v>
      </c>
      <c r="C58" s="60">
        <v>2243</v>
      </c>
      <c r="D58" s="61" t="s">
        <v>126</v>
      </c>
      <c r="E58" s="61" t="s">
        <v>127</v>
      </c>
      <c r="F58" s="60">
        <v>4279</v>
      </c>
      <c r="G58" s="62">
        <f t="shared" ref="G58:G68" si="3">F58/F$69</f>
        <v>0.24412368781378366</v>
      </c>
    </row>
    <row r="59" spans="1:7" ht="25.5">
      <c r="B59" s="59" t="s">
        <v>61</v>
      </c>
      <c r="C59" s="60">
        <v>14</v>
      </c>
      <c r="D59" s="61" t="s">
        <v>128</v>
      </c>
      <c r="E59" s="61" t="s">
        <v>129</v>
      </c>
      <c r="F59" s="60">
        <v>39</v>
      </c>
      <c r="G59" s="62">
        <f t="shared" si="3"/>
        <v>2.2250114103149247E-3</v>
      </c>
    </row>
    <row r="60" spans="1:7" ht="25.5">
      <c r="B60" s="59" t="s">
        <v>62</v>
      </c>
      <c r="C60" s="60">
        <v>775</v>
      </c>
      <c r="D60" s="61" t="s">
        <v>130</v>
      </c>
      <c r="E60" s="61" t="s">
        <v>131</v>
      </c>
      <c r="F60" s="60">
        <v>1585</v>
      </c>
      <c r="G60" s="62">
        <f t="shared" si="3"/>
        <v>9.0426745778183479E-2</v>
      </c>
    </row>
    <row r="61" spans="1:7" ht="25.5">
      <c r="B61" s="59" t="s">
        <v>63</v>
      </c>
      <c r="C61" s="60">
        <v>64</v>
      </c>
      <c r="D61" s="61" t="s">
        <v>132</v>
      </c>
      <c r="E61" s="61" t="s">
        <v>133</v>
      </c>
      <c r="F61" s="60">
        <v>149</v>
      </c>
      <c r="G61" s="62">
        <f t="shared" si="3"/>
        <v>8.5006846188954814E-3</v>
      </c>
    </row>
    <row r="62" spans="1:7" ht="25.5">
      <c r="B62" s="59" t="s">
        <v>64</v>
      </c>
      <c r="C62" s="60">
        <v>107</v>
      </c>
      <c r="D62" s="61" t="s">
        <v>134</v>
      </c>
      <c r="E62" s="61" t="s">
        <v>135</v>
      </c>
      <c r="F62" s="60">
        <v>266</v>
      </c>
      <c r="G62" s="62">
        <f t="shared" si="3"/>
        <v>1.5175718849840255E-2</v>
      </c>
    </row>
    <row r="63" spans="1:7" ht="25.5">
      <c r="B63" s="59" t="s">
        <v>65</v>
      </c>
      <c r="C63" s="60">
        <v>234</v>
      </c>
      <c r="D63" s="61" t="s">
        <v>136</v>
      </c>
      <c r="E63" s="61" t="s">
        <v>137</v>
      </c>
      <c r="F63" s="60">
        <v>315</v>
      </c>
      <c r="G63" s="62">
        <f t="shared" si="3"/>
        <v>1.7971246006389777E-2</v>
      </c>
    </row>
    <row r="64" spans="1:7" ht="25.5">
      <c r="B64" s="59" t="s">
        <v>66</v>
      </c>
      <c r="C64" s="60">
        <v>2128</v>
      </c>
      <c r="D64" s="61" t="s">
        <v>138</v>
      </c>
      <c r="E64" s="61" t="s">
        <v>139</v>
      </c>
      <c r="F64" s="60">
        <v>4252</v>
      </c>
      <c r="G64" s="62">
        <f>F64/F$69</f>
        <v>0.24258329529895026</v>
      </c>
    </row>
    <row r="65" spans="1:7" ht="25.5">
      <c r="B65" s="59" t="s">
        <v>89</v>
      </c>
      <c r="C65" s="60">
        <v>28</v>
      </c>
      <c r="D65" s="61" t="s">
        <v>140</v>
      </c>
      <c r="E65" s="61" t="s">
        <v>141</v>
      </c>
      <c r="F65" s="60">
        <v>53</v>
      </c>
      <c r="G65" s="62">
        <f t="shared" si="3"/>
        <v>3.0237334550433591E-3</v>
      </c>
    </row>
    <row r="66" spans="1:7" ht="25.5">
      <c r="B66" s="59" t="s">
        <v>67</v>
      </c>
      <c r="C66" s="60">
        <v>654</v>
      </c>
      <c r="D66" s="61" t="s">
        <v>142</v>
      </c>
      <c r="E66" s="61" t="s">
        <v>143</v>
      </c>
      <c r="F66" s="60">
        <v>1283</v>
      </c>
      <c r="G66" s="62">
        <f t="shared" si="3"/>
        <v>7.3197170241898674E-2</v>
      </c>
    </row>
    <row r="67" spans="1:7" ht="25.5">
      <c r="B67" s="59" t="s">
        <v>117</v>
      </c>
      <c r="C67" s="60">
        <v>15</v>
      </c>
      <c r="D67" s="61" t="s">
        <v>144</v>
      </c>
      <c r="E67" s="61" t="s">
        <v>145</v>
      </c>
      <c r="F67" s="60">
        <v>41</v>
      </c>
      <c r="G67" s="62">
        <f>F67/F$69</f>
        <v>2.3391145595618441E-3</v>
      </c>
    </row>
    <row r="68" spans="1:7" ht="25.5">
      <c r="B68" s="59" t="s">
        <v>69</v>
      </c>
      <c r="C68" s="60">
        <v>212</v>
      </c>
      <c r="D68" s="61" t="s">
        <v>146</v>
      </c>
      <c r="E68" s="61" t="s">
        <v>147</v>
      </c>
      <c r="F68" s="63">
        <v>374</v>
      </c>
      <c r="G68" s="64">
        <f t="shared" si="3"/>
        <v>2.1337288909173892E-2</v>
      </c>
    </row>
    <row r="69" spans="1:7" ht="27" customHeight="1">
      <c r="B69" s="40"/>
      <c r="D69" s="7"/>
      <c r="E69" s="7"/>
      <c r="F69" s="76">
        <f>SUM(F57:F68)</f>
        <v>17528</v>
      </c>
      <c r="G69" s="77">
        <f>SUM(G57:G68)</f>
        <v>1</v>
      </c>
    </row>
    <row r="70" spans="1:7">
      <c r="B70" s="40"/>
      <c r="D70" s="7"/>
      <c r="E70" s="7"/>
      <c r="G70" s="14"/>
    </row>
    <row r="71" spans="1:7" ht="25.5">
      <c r="A71" s="73">
        <v>2018</v>
      </c>
      <c r="B71" s="65" t="s">
        <v>59</v>
      </c>
      <c r="C71" s="59">
        <v>2426</v>
      </c>
      <c r="D71" s="59" t="s">
        <v>148</v>
      </c>
      <c r="E71" s="59" t="s">
        <v>149</v>
      </c>
      <c r="F71" s="59">
        <v>5373</v>
      </c>
      <c r="G71" s="62">
        <f t="shared" ref="G71:G82" si="4">F71/F$83</f>
        <v>0.28769543799528807</v>
      </c>
    </row>
    <row r="72" spans="1:7" ht="25.5">
      <c r="B72" s="59" t="s">
        <v>60</v>
      </c>
      <c r="C72" s="59">
        <v>1761</v>
      </c>
      <c r="D72" s="59" t="s">
        <v>150</v>
      </c>
      <c r="E72" s="59" t="s">
        <v>151</v>
      </c>
      <c r="F72" s="59">
        <v>3360</v>
      </c>
      <c r="G72" s="62">
        <f t="shared" si="4"/>
        <v>0.17991004497751126</v>
      </c>
    </row>
    <row r="73" spans="1:7" ht="25.5">
      <c r="B73" s="59" t="s">
        <v>61</v>
      </c>
      <c r="C73" s="59">
        <v>24</v>
      </c>
      <c r="D73" s="59" t="s">
        <v>152</v>
      </c>
      <c r="E73" s="59" t="s">
        <v>153</v>
      </c>
      <c r="F73" s="59">
        <v>72</v>
      </c>
      <c r="G73" s="62">
        <f t="shared" si="4"/>
        <v>3.855215249518098E-3</v>
      </c>
    </row>
    <row r="74" spans="1:7" ht="25.5">
      <c r="B74" s="59" t="s">
        <v>62</v>
      </c>
      <c r="C74" s="59">
        <v>864</v>
      </c>
      <c r="D74" s="59" t="s">
        <v>154</v>
      </c>
      <c r="E74" s="59" t="s">
        <v>155</v>
      </c>
      <c r="F74" s="59">
        <v>1807</v>
      </c>
      <c r="G74" s="62">
        <f t="shared" si="4"/>
        <v>9.6755193831655595E-2</v>
      </c>
    </row>
    <row r="75" spans="1:7" ht="25.5">
      <c r="B75" s="59" t="s">
        <v>63</v>
      </c>
      <c r="C75" s="59">
        <v>57</v>
      </c>
      <c r="D75" s="59" t="s">
        <v>156</v>
      </c>
      <c r="E75" s="59" t="s">
        <v>157</v>
      </c>
      <c r="F75" s="59">
        <v>140</v>
      </c>
      <c r="G75" s="62">
        <f t="shared" si="4"/>
        <v>7.4962518740629685E-3</v>
      </c>
    </row>
    <row r="76" spans="1:7" ht="25.5">
      <c r="B76" s="59" t="s">
        <v>64</v>
      </c>
      <c r="C76" s="59">
        <v>118</v>
      </c>
      <c r="D76" s="59" t="s">
        <v>158</v>
      </c>
      <c r="E76" s="59" t="s">
        <v>159</v>
      </c>
      <c r="F76" s="59">
        <v>267</v>
      </c>
      <c r="G76" s="62">
        <f t="shared" si="4"/>
        <v>1.4296423216962947E-2</v>
      </c>
    </row>
    <row r="77" spans="1:7" ht="25.5">
      <c r="B77" s="59" t="s">
        <v>65</v>
      </c>
      <c r="C77" s="59">
        <v>325</v>
      </c>
      <c r="D77" s="59" t="s">
        <v>160</v>
      </c>
      <c r="E77" s="59" t="s">
        <v>161</v>
      </c>
      <c r="F77" s="59">
        <v>491</v>
      </c>
      <c r="G77" s="62">
        <f t="shared" si="4"/>
        <v>2.6290426215463698E-2</v>
      </c>
    </row>
    <row r="78" spans="1:7" ht="25.5">
      <c r="B78" s="59" t="s">
        <v>66</v>
      </c>
      <c r="C78" s="59">
        <v>2551</v>
      </c>
      <c r="D78" s="59" t="s">
        <v>162</v>
      </c>
      <c r="E78" s="59" t="s">
        <v>163</v>
      </c>
      <c r="F78" s="59">
        <v>5292</v>
      </c>
      <c r="G78" s="62">
        <f t="shared" si="4"/>
        <v>0.28335832083958024</v>
      </c>
    </row>
    <row r="79" spans="1:7" ht="25.5">
      <c r="B79" s="59" t="s">
        <v>89</v>
      </c>
      <c r="C79" s="59">
        <v>52</v>
      </c>
      <c r="D79" s="59" t="s">
        <v>164</v>
      </c>
      <c r="E79" s="59" t="s">
        <v>165</v>
      </c>
      <c r="F79" s="59">
        <v>91</v>
      </c>
      <c r="G79" s="62">
        <f t="shared" si="4"/>
        <v>4.8725637181409294E-3</v>
      </c>
    </row>
    <row r="80" spans="1:7" ht="25.5">
      <c r="B80" s="59" t="s">
        <v>67</v>
      </c>
      <c r="C80" s="59">
        <v>645</v>
      </c>
      <c r="D80" s="59" t="s">
        <v>166</v>
      </c>
      <c r="E80" s="59" t="s">
        <v>167</v>
      </c>
      <c r="F80" s="59">
        <v>1299</v>
      </c>
      <c r="G80" s="62">
        <f t="shared" si="4"/>
        <v>6.9554508460055689E-2</v>
      </c>
    </row>
    <row r="81" spans="1:7" ht="25.5">
      <c r="B81" s="59" t="s">
        <v>117</v>
      </c>
      <c r="C81" s="59">
        <v>12</v>
      </c>
      <c r="D81" s="59" t="s">
        <v>168</v>
      </c>
      <c r="E81" s="59" t="s">
        <v>169</v>
      </c>
      <c r="F81" s="59">
        <v>22</v>
      </c>
      <c r="G81" s="62">
        <f t="shared" si="4"/>
        <v>1.1779824373527523E-3</v>
      </c>
    </row>
    <row r="82" spans="1:7" ht="25.5">
      <c r="B82" s="59" t="s">
        <v>69</v>
      </c>
      <c r="C82" s="59">
        <v>211</v>
      </c>
      <c r="D82" s="59" t="s">
        <v>170</v>
      </c>
      <c r="E82" s="59" t="s">
        <v>171</v>
      </c>
      <c r="F82" s="66">
        <v>462</v>
      </c>
      <c r="G82" s="64">
        <f t="shared" si="4"/>
        <v>2.4737631184407798E-2</v>
      </c>
    </row>
    <row r="83" spans="1:7" ht="18" customHeight="1">
      <c r="F83" s="74">
        <f>SUM(F71:F82)</f>
        <v>18676</v>
      </c>
      <c r="G83" s="78">
        <f>SUM(G71:G82)</f>
        <v>1.0000000000000002</v>
      </c>
    </row>
    <row r="84" spans="1:7">
      <c r="B84" s="40"/>
      <c r="D84" s="7"/>
      <c r="E84" s="7"/>
      <c r="G84" s="14"/>
    </row>
    <row r="85" spans="1:7">
      <c r="B85" s="40"/>
    </row>
    <row r="86" spans="1:7" ht="25.5">
      <c r="A86" s="73">
        <v>2019</v>
      </c>
      <c r="B86" s="65" t="s">
        <v>59</v>
      </c>
      <c r="C86" s="60">
        <v>1639</v>
      </c>
      <c r="D86" s="61" t="s">
        <v>172</v>
      </c>
      <c r="E86" s="61" t="s">
        <v>173</v>
      </c>
      <c r="F86" s="60">
        <v>3911</v>
      </c>
      <c r="G86" s="62">
        <f>F86/F$98</f>
        <v>0.20089377439901376</v>
      </c>
    </row>
    <row r="87" spans="1:7">
      <c r="B87" s="59" t="s">
        <v>60</v>
      </c>
      <c r="C87" s="60">
        <v>1372</v>
      </c>
      <c r="D87" s="61" t="s">
        <v>174</v>
      </c>
      <c r="E87" s="61" t="s">
        <v>175</v>
      </c>
      <c r="F87" s="60">
        <v>2834</v>
      </c>
      <c r="G87" s="62">
        <f t="shared" ref="G87:G96" si="5">F87/F$98</f>
        <v>0.14557222108074788</v>
      </c>
    </row>
    <row r="88" spans="1:7" ht="25.5">
      <c r="B88" s="59" t="s">
        <v>61</v>
      </c>
      <c r="C88" s="60">
        <v>49</v>
      </c>
      <c r="D88" s="61" t="s">
        <v>176</v>
      </c>
      <c r="E88" s="61" t="s">
        <v>177</v>
      </c>
      <c r="F88" s="60">
        <v>199</v>
      </c>
      <c r="G88" s="62">
        <f t="shared" si="5"/>
        <v>1.0221902609410314E-2</v>
      </c>
    </row>
    <row r="89" spans="1:7" ht="25.5">
      <c r="B89" s="59" t="s">
        <v>62</v>
      </c>
      <c r="C89" s="60">
        <v>1081</v>
      </c>
      <c r="D89" s="61" t="s">
        <v>178</v>
      </c>
      <c r="E89" s="61" t="s">
        <v>179</v>
      </c>
      <c r="F89" s="60">
        <v>2402</v>
      </c>
      <c r="G89" s="62">
        <f t="shared" si="5"/>
        <v>0.12338196013971646</v>
      </c>
    </row>
    <row r="90" spans="1:7" ht="25.5">
      <c r="B90" s="59" t="s">
        <v>63</v>
      </c>
      <c r="C90" s="60">
        <v>64</v>
      </c>
      <c r="D90" s="61" t="s">
        <v>180</v>
      </c>
      <c r="E90" s="61" t="s">
        <v>181</v>
      </c>
      <c r="F90" s="60">
        <v>184</v>
      </c>
      <c r="G90" s="62">
        <f t="shared" si="5"/>
        <v>9.4514074378467226E-3</v>
      </c>
    </row>
    <row r="91" spans="1:7" ht="25.5">
      <c r="B91" s="59" t="s">
        <v>64</v>
      </c>
      <c r="C91" s="60">
        <v>176</v>
      </c>
      <c r="D91" s="61" t="s">
        <v>182</v>
      </c>
      <c r="E91" s="61" t="s">
        <v>183</v>
      </c>
      <c r="F91" s="60">
        <v>414</v>
      </c>
      <c r="G91" s="62">
        <f t="shared" si="5"/>
        <v>2.1265666735155127E-2</v>
      </c>
    </row>
    <row r="92" spans="1:7" ht="25.5">
      <c r="B92" s="59" t="s">
        <v>65</v>
      </c>
      <c r="C92" s="60">
        <v>352</v>
      </c>
      <c r="D92" s="61" t="s">
        <v>184</v>
      </c>
      <c r="E92" s="61" t="s">
        <v>185</v>
      </c>
      <c r="F92" s="60">
        <v>503</v>
      </c>
      <c r="G92" s="62">
        <f t="shared" si="5"/>
        <v>2.5837271419765769E-2</v>
      </c>
    </row>
    <row r="93" spans="1:7" ht="25.5">
      <c r="B93" s="59" t="s">
        <v>66</v>
      </c>
      <c r="C93" s="60">
        <v>3319</v>
      </c>
      <c r="D93" s="61" t="s">
        <v>186</v>
      </c>
      <c r="E93" s="61" t="s">
        <v>187</v>
      </c>
      <c r="F93" s="60">
        <v>6768</v>
      </c>
      <c r="G93" s="62">
        <f t="shared" si="5"/>
        <v>0.34764742140949251</v>
      </c>
    </row>
    <row r="94" spans="1:7" ht="25.5">
      <c r="B94" s="59" t="s">
        <v>89</v>
      </c>
      <c r="C94" s="60">
        <v>50</v>
      </c>
      <c r="D94" s="61" t="s">
        <v>188</v>
      </c>
      <c r="E94" s="61" t="s">
        <v>189</v>
      </c>
      <c r="F94" s="60">
        <v>138</v>
      </c>
      <c r="G94" s="62">
        <f t="shared" si="5"/>
        <v>7.088555578385042E-3</v>
      </c>
    </row>
    <row r="95" spans="1:7" ht="25.5">
      <c r="B95" s="59" t="s">
        <v>67</v>
      </c>
      <c r="C95" s="60">
        <v>721</v>
      </c>
      <c r="D95" s="61" t="s">
        <v>190</v>
      </c>
      <c r="E95" s="61" t="s">
        <v>191</v>
      </c>
      <c r="F95" s="60">
        <v>1519</v>
      </c>
      <c r="G95" s="62">
        <f t="shared" si="5"/>
        <v>7.8025477707006366E-2</v>
      </c>
    </row>
    <row r="96" spans="1:7">
      <c r="B96" s="59" t="s">
        <v>117</v>
      </c>
      <c r="C96" s="60">
        <v>5</v>
      </c>
      <c r="D96" s="61" t="s">
        <v>192</v>
      </c>
      <c r="E96" s="61" t="s">
        <v>193</v>
      </c>
      <c r="F96" s="60">
        <v>8</v>
      </c>
      <c r="G96" s="62">
        <f t="shared" si="5"/>
        <v>4.1093075816724881E-4</v>
      </c>
    </row>
    <row r="97" spans="2:7" ht="25.5">
      <c r="B97" s="59" t="s">
        <v>69</v>
      </c>
      <c r="C97" s="60">
        <v>309</v>
      </c>
      <c r="D97" s="61" t="s">
        <v>194</v>
      </c>
      <c r="E97" s="61" t="s">
        <v>195</v>
      </c>
      <c r="F97" s="63">
        <v>588</v>
      </c>
      <c r="G97" s="64">
        <f>F97/F$98</f>
        <v>3.0203410725292788E-2</v>
      </c>
    </row>
    <row r="98" spans="2:7" ht="21" customHeight="1">
      <c r="D98" s="7"/>
      <c r="E98" s="7"/>
      <c r="F98" s="76">
        <f>SUM(F86:F97)</f>
        <v>19468</v>
      </c>
      <c r="G98" s="77">
        <f>SUM(G86:G97)</f>
        <v>1.0000000000000002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4"/>
  <sheetViews>
    <sheetView topLeftCell="A37" workbookViewId="0">
      <selection activeCell="L63" sqref="L63"/>
    </sheetView>
  </sheetViews>
  <sheetFormatPr defaultRowHeight="12.75"/>
  <cols>
    <col min="5" max="5" width="11" customWidth="1"/>
  </cols>
  <sheetData>
    <row r="1" spans="1:12">
      <c r="B1" t="s">
        <v>6</v>
      </c>
      <c r="H1" t="s">
        <v>196</v>
      </c>
    </row>
    <row r="2" spans="1:12">
      <c r="B2" t="s">
        <v>27</v>
      </c>
      <c r="C2" t="s">
        <v>9</v>
      </c>
      <c r="D2" t="s">
        <v>10</v>
      </c>
      <c r="E2" t="s">
        <v>28</v>
      </c>
      <c r="F2" t="s">
        <v>29</v>
      </c>
      <c r="H2" t="s">
        <v>27</v>
      </c>
      <c r="I2" t="s">
        <v>9</v>
      </c>
      <c r="J2" t="s">
        <v>10</v>
      </c>
      <c r="K2" t="s">
        <v>28</v>
      </c>
      <c r="L2" t="s">
        <v>29</v>
      </c>
    </row>
    <row r="3" spans="1:12">
      <c r="A3" s="1">
        <v>42095</v>
      </c>
      <c r="B3">
        <v>19</v>
      </c>
      <c r="C3">
        <v>28</v>
      </c>
      <c r="D3">
        <v>14</v>
      </c>
      <c r="E3">
        <v>42</v>
      </c>
      <c r="F3">
        <v>931</v>
      </c>
    </row>
    <row r="4" spans="1:12">
      <c r="A4" s="1">
        <v>42125</v>
      </c>
      <c r="B4">
        <v>140</v>
      </c>
      <c r="C4">
        <v>180</v>
      </c>
      <c r="D4">
        <v>85</v>
      </c>
      <c r="E4">
        <v>265</v>
      </c>
      <c r="F4">
        <v>6860</v>
      </c>
    </row>
    <row r="5" spans="1:12">
      <c r="A5" s="1">
        <v>42156</v>
      </c>
      <c r="B5">
        <v>146</v>
      </c>
      <c r="C5">
        <v>270</v>
      </c>
      <c r="D5">
        <v>163</v>
      </c>
      <c r="E5">
        <v>433</v>
      </c>
      <c r="F5">
        <v>7154</v>
      </c>
    </row>
    <row r="6" spans="1:12">
      <c r="A6" s="1">
        <v>42186</v>
      </c>
      <c r="B6">
        <v>155</v>
      </c>
      <c r="C6">
        <v>196</v>
      </c>
      <c r="D6">
        <v>88</v>
      </c>
      <c r="E6">
        <v>284</v>
      </c>
      <c r="F6">
        <v>7595</v>
      </c>
    </row>
    <row r="7" spans="1:12">
      <c r="A7" s="1">
        <v>42217</v>
      </c>
      <c r="B7">
        <v>149</v>
      </c>
      <c r="C7">
        <v>202</v>
      </c>
      <c r="D7">
        <v>90</v>
      </c>
      <c r="E7">
        <v>292</v>
      </c>
      <c r="F7">
        <v>7301</v>
      </c>
    </row>
    <row r="8" spans="1:12">
      <c r="A8" s="1">
        <v>42248</v>
      </c>
      <c r="B8">
        <v>242</v>
      </c>
      <c r="C8">
        <v>375</v>
      </c>
      <c r="D8">
        <v>237</v>
      </c>
      <c r="E8">
        <v>612</v>
      </c>
      <c r="F8">
        <v>11858</v>
      </c>
    </row>
    <row r="9" spans="1:12">
      <c r="A9" s="1">
        <v>42278</v>
      </c>
      <c r="B9">
        <v>246</v>
      </c>
      <c r="C9">
        <v>368</v>
      </c>
      <c r="D9">
        <v>264</v>
      </c>
      <c r="E9">
        <v>632</v>
      </c>
      <c r="F9">
        <v>12054</v>
      </c>
    </row>
    <row r="10" spans="1:12">
      <c r="A10" s="1">
        <v>42309</v>
      </c>
      <c r="B10">
        <v>279</v>
      </c>
      <c r="C10">
        <v>396</v>
      </c>
      <c r="D10">
        <v>259</v>
      </c>
      <c r="E10">
        <v>655</v>
      </c>
      <c r="F10">
        <v>13671</v>
      </c>
    </row>
    <row r="11" spans="1:12">
      <c r="A11" s="1">
        <v>42339</v>
      </c>
      <c r="B11">
        <v>389</v>
      </c>
      <c r="C11">
        <v>565</v>
      </c>
      <c r="D11">
        <v>417</v>
      </c>
      <c r="E11">
        <v>982</v>
      </c>
      <c r="F11">
        <v>19061</v>
      </c>
    </row>
    <row r="12" spans="1:12">
      <c r="A12" s="1">
        <v>42370</v>
      </c>
      <c r="B12">
        <v>433</v>
      </c>
      <c r="C12">
        <v>642</v>
      </c>
      <c r="D12">
        <v>432</v>
      </c>
      <c r="E12">
        <v>1074</v>
      </c>
      <c r="F12">
        <v>21217</v>
      </c>
    </row>
    <row r="13" spans="1:12">
      <c r="A13" s="1">
        <v>42401</v>
      </c>
      <c r="B13">
        <v>391</v>
      </c>
      <c r="C13">
        <v>549</v>
      </c>
      <c r="D13">
        <v>325</v>
      </c>
      <c r="E13">
        <v>874</v>
      </c>
      <c r="F13">
        <v>19159</v>
      </c>
    </row>
    <row r="14" spans="1:12">
      <c r="A14" s="1">
        <v>42430</v>
      </c>
      <c r="B14">
        <v>346</v>
      </c>
      <c r="C14">
        <v>494</v>
      </c>
      <c r="D14">
        <v>318</v>
      </c>
      <c r="E14">
        <v>812</v>
      </c>
      <c r="F14">
        <v>16954</v>
      </c>
      <c r="H14">
        <f>ROUND(SUM(B3:B14)/12,0)</f>
        <v>245</v>
      </c>
      <c r="I14">
        <f t="shared" ref="I14:L14" si="0">ROUND(SUM(C3:C14)/12,0)</f>
        <v>355</v>
      </c>
      <c r="J14">
        <f t="shared" si="0"/>
        <v>224</v>
      </c>
      <c r="K14">
        <f t="shared" si="0"/>
        <v>580</v>
      </c>
      <c r="L14">
        <f t="shared" si="0"/>
        <v>11985</v>
      </c>
    </row>
    <row r="15" spans="1:12">
      <c r="A15" s="1">
        <v>42461</v>
      </c>
      <c r="B15">
        <v>229</v>
      </c>
      <c r="C15">
        <v>313</v>
      </c>
      <c r="D15">
        <v>188</v>
      </c>
      <c r="E15">
        <v>501</v>
      </c>
      <c r="F15">
        <v>6870</v>
      </c>
      <c r="H15">
        <f t="shared" ref="H15:H59" si="1">ROUND(SUM(B4:B15)/12,0)</f>
        <v>262</v>
      </c>
      <c r="I15">
        <f t="shared" ref="I15:I57" si="2">ROUND(SUM(C4:C15)/12,0)</f>
        <v>379</v>
      </c>
      <c r="J15">
        <f t="shared" ref="J15:J57" si="3">ROUND(SUM(D4:D15)/12,0)</f>
        <v>239</v>
      </c>
      <c r="K15">
        <f t="shared" ref="K15:K59" si="4">ROUND(SUM(E4:E15)/12,0)</f>
        <v>618</v>
      </c>
      <c r="L15">
        <f t="shared" ref="L15:L59" si="5">ROUND(SUM(F4:F15)/12,0)</f>
        <v>12480</v>
      </c>
    </row>
    <row r="16" spans="1:12">
      <c r="A16" s="1">
        <v>42491</v>
      </c>
      <c r="B16">
        <v>198</v>
      </c>
      <c r="C16">
        <v>275</v>
      </c>
      <c r="D16">
        <v>178</v>
      </c>
      <c r="E16">
        <v>453</v>
      </c>
      <c r="F16">
        <v>5940</v>
      </c>
      <c r="H16">
        <f t="shared" si="1"/>
        <v>267</v>
      </c>
      <c r="I16">
        <f t="shared" si="2"/>
        <v>387</v>
      </c>
      <c r="J16">
        <f t="shared" si="3"/>
        <v>247</v>
      </c>
      <c r="K16">
        <f t="shared" si="4"/>
        <v>634</v>
      </c>
      <c r="L16">
        <f t="shared" si="5"/>
        <v>12403</v>
      </c>
    </row>
    <row r="17" spans="1:12">
      <c r="A17" s="1">
        <v>42522</v>
      </c>
      <c r="B17">
        <v>233</v>
      </c>
      <c r="C17">
        <v>324</v>
      </c>
      <c r="D17">
        <v>152</v>
      </c>
      <c r="E17">
        <v>476</v>
      </c>
      <c r="F17">
        <v>6990</v>
      </c>
      <c r="H17">
        <f t="shared" si="1"/>
        <v>274</v>
      </c>
      <c r="I17">
        <f t="shared" si="2"/>
        <v>392</v>
      </c>
      <c r="J17">
        <f t="shared" si="3"/>
        <v>246</v>
      </c>
      <c r="K17">
        <f t="shared" si="4"/>
        <v>637</v>
      </c>
      <c r="L17">
        <f t="shared" si="5"/>
        <v>12389</v>
      </c>
    </row>
    <row r="18" spans="1:12">
      <c r="A18" s="1">
        <v>42552</v>
      </c>
      <c r="B18">
        <v>171</v>
      </c>
      <c r="C18">
        <v>241</v>
      </c>
      <c r="D18">
        <v>154</v>
      </c>
      <c r="E18">
        <v>395</v>
      </c>
      <c r="F18">
        <v>5130</v>
      </c>
      <c r="H18">
        <f t="shared" si="1"/>
        <v>276</v>
      </c>
      <c r="I18">
        <f t="shared" si="2"/>
        <v>395</v>
      </c>
      <c r="J18">
        <f t="shared" si="3"/>
        <v>251</v>
      </c>
      <c r="K18">
        <f t="shared" si="4"/>
        <v>647</v>
      </c>
      <c r="L18">
        <f t="shared" si="5"/>
        <v>12184</v>
      </c>
    </row>
    <row r="19" spans="1:12">
      <c r="A19" s="1">
        <v>42583</v>
      </c>
      <c r="B19">
        <v>179</v>
      </c>
      <c r="C19">
        <v>264</v>
      </c>
      <c r="D19">
        <v>161</v>
      </c>
      <c r="E19">
        <v>425</v>
      </c>
      <c r="F19">
        <v>5370</v>
      </c>
      <c r="H19">
        <f t="shared" si="1"/>
        <v>278</v>
      </c>
      <c r="I19">
        <f t="shared" si="2"/>
        <v>401</v>
      </c>
      <c r="J19">
        <f t="shared" si="3"/>
        <v>257</v>
      </c>
      <c r="K19">
        <f t="shared" si="4"/>
        <v>658</v>
      </c>
      <c r="L19">
        <f t="shared" si="5"/>
        <v>12023</v>
      </c>
    </row>
    <row r="20" spans="1:12">
      <c r="A20" s="1">
        <v>42614</v>
      </c>
      <c r="B20">
        <v>229</v>
      </c>
      <c r="C20">
        <v>302</v>
      </c>
      <c r="D20">
        <v>196</v>
      </c>
      <c r="E20">
        <v>498</v>
      </c>
      <c r="F20">
        <v>6870</v>
      </c>
      <c r="H20">
        <f t="shared" si="1"/>
        <v>277</v>
      </c>
      <c r="I20">
        <f t="shared" si="2"/>
        <v>394</v>
      </c>
      <c r="J20">
        <f t="shared" si="3"/>
        <v>254</v>
      </c>
      <c r="K20">
        <f t="shared" si="4"/>
        <v>648</v>
      </c>
      <c r="L20">
        <f t="shared" si="5"/>
        <v>11607</v>
      </c>
    </row>
    <row r="21" spans="1:12">
      <c r="A21" s="1">
        <v>42644</v>
      </c>
      <c r="B21">
        <v>270</v>
      </c>
      <c r="C21">
        <v>373</v>
      </c>
      <c r="D21">
        <v>242</v>
      </c>
      <c r="E21">
        <v>615</v>
      </c>
      <c r="F21">
        <v>8100</v>
      </c>
      <c r="H21">
        <f t="shared" si="1"/>
        <v>279</v>
      </c>
      <c r="I21">
        <f t="shared" si="2"/>
        <v>395</v>
      </c>
      <c r="J21">
        <f t="shared" si="3"/>
        <v>252</v>
      </c>
      <c r="K21">
        <f t="shared" si="4"/>
        <v>647</v>
      </c>
      <c r="L21">
        <f t="shared" si="5"/>
        <v>11278</v>
      </c>
    </row>
    <row r="22" spans="1:12">
      <c r="A22" s="1">
        <v>42675</v>
      </c>
      <c r="B22">
        <v>495</v>
      </c>
      <c r="C22">
        <v>677</v>
      </c>
      <c r="D22">
        <v>333</v>
      </c>
      <c r="E22">
        <v>1010</v>
      </c>
      <c r="F22">
        <v>24255</v>
      </c>
      <c r="H22">
        <f t="shared" si="1"/>
        <v>297</v>
      </c>
      <c r="I22">
        <f t="shared" si="2"/>
        <v>418</v>
      </c>
      <c r="J22">
        <f t="shared" si="3"/>
        <v>258</v>
      </c>
      <c r="K22">
        <f t="shared" si="4"/>
        <v>676</v>
      </c>
      <c r="L22">
        <f t="shared" si="5"/>
        <v>12160</v>
      </c>
    </row>
    <row r="23" spans="1:12">
      <c r="A23" s="1">
        <v>42705</v>
      </c>
      <c r="B23">
        <v>406</v>
      </c>
      <c r="C23">
        <v>586</v>
      </c>
      <c r="D23">
        <v>331</v>
      </c>
      <c r="E23">
        <v>917</v>
      </c>
      <c r="F23">
        <v>19894</v>
      </c>
      <c r="H23">
        <f t="shared" si="1"/>
        <v>298</v>
      </c>
      <c r="I23">
        <f t="shared" si="2"/>
        <v>420</v>
      </c>
      <c r="J23">
        <f t="shared" si="3"/>
        <v>251</v>
      </c>
      <c r="K23">
        <f t="shared" si="4"/>
        <v>671</v>
      </c>
      <c r="L23">
        <f t="shared" si="5"/>
        <v>12229</v>
      </c>
    </row>
    <row r="24" spans="1:12">
      <c r="A24" s="1">
        <v>42736</v>
      </c>
      <c r="B24">
        <v>451</v>
      </c>
      <c r="C24">
        <v>625</v>
      </c>
      <c r="D24">
        <v>304</v>
      </c>
      <c r="E24">
        <v>929</v>
      </c>
      <c r="F24">
        <v>22099</v>
      </c>
      <c r="H24">
        <f t="shared" si="1"/>
        <v>300</v>
      </c>
      <c r="I24">
        <f t="shared" si="2"/>
        <v>419</v>
      </c>
      <c r="J24">
        <f t="shared" si="3"/>
        <v>240</v>
      </c>
      <c r="K24">
        <f t="shared" si="4"/>
        <v>659</v>
      </c>
      <c r="L24">
        <f t="shared" si="5"/>
        <v>12303</v>
      </c>
    </row>
    <row r="25" spans="1:12">
      <c r="A25" s="1">
        <v>42767</v>
      </c>
      <c r="B25">
        <v>409</v>
      </c>
      <c r="C25">
        <v>580</v>
      </c>
      <c r="D25">
        <v>331</v>
      </c>
      <c r="E25">
        <v>911</v>
      </c>
      <c r="F25">
        <v>20041</v>
      </c>
      <c r="H25">
        <f t="shared" si="1"/>
        <v>301</v>
      </c>
      <c r="I25">
        <f t="shared" si="2"/>
        <v>421</v>
      </c>
      <c r="J25">
        <f t="shared" si="3"/>
        <v>241</v>
      </c>
      <c r="K25">
        <f t="shared" si="4"/>
        <v>662</v>
      </c>
      <c r="L25">
        <f t="shared" si="5"/>
        <v>12376</v>
      </c>
    </row>
    <row r="26" spans="1:12">
      <c r="A26" s="1">
        <v>42795</v>
      </c>
      <c r="B26">
        <v>415</v>
      </c>
      <c r="C26">
        <v>542</v>
      </c>
      <c r="D26">
        <v>325</v>
      </c>
      <c r="E26">
        <v>867</v>
      </c>
      <c r="F26">
        <v>20335</v>
      </c>
      <c r="H26">
        <f t="shared" si="1"/>
        <v>307</v>
      </c>
      <c r="I26">
        <f t="shared" si="2"/>
        <v>425</v>
      </c>
      <c r="J26">
        <f t="shared" si="3"/>
        <v>241</v>
      </c>
      <c r="K26">
        <f t="shared" si="4"/>
        <v>666</v>
      </c>
      <c r="L26">
        <f t="shared" si="5"/>
        <v>12658</v>
      </c>
    </row>
    <row r="27" spans="1:12">
      <c r="A27" s="1">
        <v>42826</v>
      </c>
      <c r="B27">
        <v>268</v>
      </c>
      <c r="C27">
        <v>355</v>
      </c>
      <c r="D27">
        <v>185</v>
      </c>
      <c r="E27">
        <v>540</v>
      </c>
      <c r="F27">
        <v>8040</v>
      </c>
      <c r="H27">
        <f t="shared" si="1"/>
        <v>310</v>
      </c>
      <c r="I27">
        <f t="shared" si="2"/>
        <v>429</v>
      </c>
      <c r="J27">
        <f t="shared" si="3"/>
        <v>241</v>
      </c>
      <c r="K27">
        <f t="shared" si="4"/>
        <v>670</v>
      </c>
      <c r="L27">
        <f t="shared" si="5"/>
        <v>12755</v>
      </c>
    </row>
    <row r="28" spans="1:12">
      <c r="A28" s="1">
        <v>42856</v>
      </c>
      <c r="B28">
        <v>249</v>
      </c>
      <c r="C28">
        <v>336</v>
      </c>
      <c r="D28">
        <v>188</v>
      </c>
      <c r="E28">
        <v>524</v>
      </c>
      <c r="F28">
        <v>7470</v>
      </c>
      <c r="H28">
        <f t="shared" si="1"/>
        <v>315</v>
      </c>
      <c r="I28">
        <f t="shared" si="2"/>
        <v>434</v>
      </c>
      <c r="J28">
        <f t="shared" si="3"/>
        <v>242</v>
      </c>
      <c r="K28">
        <f t="shared" si="4"/>
        <v>676</v>
      </c>
      <c r="L28">
        <f t="shared" si="5"/>
        <v>12883</v>
      </c>
    </row>
    <row r="29" spans="1:12">
      <c r="A29" s="1">
        <v>42887</v>
      </c>
      <c r="B29">
        <v>242</v>
      </c>
      <c r="C29">
        <v>334</v>
      </c>
      <c r="D29">
        <v>195</v>
      </c>
      <c r="E29">
        <v>529</v>
      </c>
      <c r="F29">
        <v>7260</v>
      </c>
      <c r="H29">
        <f t="shared" si="1"/>
        <v>315</v>
      </c>
      <c r="I29">
        <f t="shared" si="2"/>
        <v>435</v>
      </c>
      <c r="J29">
        <f t="shared" si="3"/>
        <v>245</v>
      </c>
      <c r="K29">
        <f t="shared" si="4"/>
        <v>680</v>
      </c>
      <c r="L29">
        <f t="shared" si="5"/>
        <v>12905</v>
      </c>
    </row>
    <row r="30" spans="1:12">
      <c r="A30" s="1">
        <v>42917</v>
      </c>
      <c r="B30">
        <v>234</v>
      </c>
      <c r="C30">
        <v>325</v>
      </c>
      <c r="D30">
        <v>203</v>
      </c>
      <c r="E30">
        <v>528</v>
      </c>
      <c r="F30">
        <v>7020</v>
      </c>
      <c r="H30">
        <f t="shared" si="1"/>
        <v>321</v>
      </c>
      <c r="I30">
        <f t="shared" si="2"/>
        <v>442</v>
      </c>
      <c r="J30">
        <f t="shared" si="3"/>
        <v>250</v>
      </c>
      <c r="K30">
        <f t="shared" si="4"/>
        <v>691</v>
      </c>
      <c r="L30">
        <f t="shared" si="5"/>
        <v>13063</v>
      </c>
    </row>
    <row r="31" spans="1:12">
      <c r="A31" s="1">
        <v>42948</v>
      </c>
      <c r="B31">
        <v>233</v>
      </c>
      <c r="C31">
        <v>316</v>
      </c>
      <c r="D31">
        <v>224</v>
      </c>
      <c r="E31">
        <v>540</v>
      </c>
      <c r="F31">
        <v>6990</v>
      </c>
      <c r="H31">
        <f t="shared" si="1"/>
        <v>325</v>
      </c>
      <c r="I31">
        <f t="shared" si="2"/>
        <v>446</v>
      </c>
      <c r="J31">
        <f t="shared" si="3"/>
        <v>255</v>
      </c>
      <c r="K31">
        <f t="shared" si="4"/>
        <v>701</v>
      </c>
      <c r="L31">
        <f t="shared" si="5"/>
        <v>13198</v>
      </c>
    </row>
    <row r="32" spans="1:12">
      <c r="A32" s="1">
        <v>42979</v>
      </c>
      <c r="B32">
        <v>272</v>
      </c>
      <c r="C32">
        <v>374</v>
      </c>
      <c r="D32">
        <v>181</v>
      </c>
      <c r="E32">
        <v>555</v>
      </c>
      <c r="F32">
        <v>8160</v>
      </c>
      <c r="H32">
        <f t="shared" si="1"/>
        <v>329</v>
      </c>
      <c r="I32">
        <f t="shared" si="2"/>
        <v>452</v>
      </c>
      <c r="J32">
        <f t="shared" si="3"/>
        <v>254</v>
      </c>
      <c r="K32">
        <f t="shared" si="4"/>
        <v>705</v>
      </c>
      <c r="L32">
        <f t="shared" si="5"/>
        <v>13305</v>
      </c>
    </row>
    <row r="33" spans="1:12">
      <c r="A33" s="1">
        <v>43009</v>
      </c>
      <c r="B33">
        <v>283</v>
      </c>
      <c r="C33">
        <v>378</v>
      </c>
      <c r="D33">
        <v>199</v>
      </c>
      <c r="E33">
        <v>577</v>
      </c>
      <c r="F33">
        <v>8490</v>
      </c>
      <c r="H33">
        <f t="shared" si="1"/>
        <v>330</v>
      </c>
      <c r="I33">
        <f t="shared" si="2"/>
        <v>452</v>
      </c>
      <c r="J33">
        <f t="shared" si="3"/>
        <v>250</v>
      </c>
      <c r="K33">
        <f t="shared" si="4"/>
        <v>702</v>
      </c>
      <c r="L33">
        <f t="shared" si="5"/>
        <v>13338</v>
      </c>
    </row>
    <row r="34" spans="1:12">
      <c r="A34" s="1">
        <v>43040</v>
      </c>
      <c r="B34">
        <v>432</v>
      </c>
      <c r="C34">
        <v>580</v>
      </c>
      <c r="D34">
        <v>358</v>
      </c>
      <c r="E34">
        <v>938</v>
      </c>
      <c r="F34">
        <v>21168</v>
      </c>
      <c r="H34">
        <f t="shared" si="1"/>
        <v>325</v>
      </c>
      <c r="I34">
        <f t="shared" si="2"/>
        <v>444</v>
      </c>
      <c r="J34">
        <f t="shared" si="3"/>
        <v>252</v>
      </c>
      <c r="K34">
        <f t="shared" si="4"/>
        <v>696</v>
      </c>
      <c r="L34">
        <f t="shared" si="5"/>
        <v>13081</v>
      </c>
    </row>
    <row r="35" spans="1:12">
      <c r="A35" s="1">
        <v>43070</v>
      </c>
      <c r="B35">
        <v>455</v>
      </c>
      <c r="C35">
        <v>646</v>
      </c>
      <c r="D35">
        <v>412</v>
      </c>
      <c r="E35">
        <v>1058</v>
      </c>
      <c r="F35">
        <v>22295</v>
      </c>
      <c r="H35">
        <f t="shared" si="1"/>
        <v>329</v>
      </c>
      <c r="I35">
        <f t="shared" si="2"/>
        <v>449</v>
      </c>
      <c r="J35">
        <f t="shared" si="3"/>
        <v>259</v>
      </c>
      <c r="K35">
        <f t="shared" si="4"/>
        <v>708</v>
      </c>
      <c r="L35">
        <f t="shared" si="5"/>
        <v>13281</v>
      </c>
    </row>
    <row r="36" spans="1:12">
      <c r="A36" s="1">
        <v>43101</v>
      </c>
      <c r="B36">
        <v>420</v>
      </c>
      <c r="C36">
        <v>569</v>
      </c>
      <c r="D36">
        <v>345</v>
      </c>
      <c r="E36">
        <v>914</v>
      </c>
      <c r="F36">
        <v>20580</v>
      </c>
      <c r="H36">
        <f t="shared" si="1"/>
        <v>326</v>
      </c>
      <c r="I36">
        <f t="shared" si="2"/>
        <v>445</v>
      </c>
      <c r="J36">
        <f t="shared" si="3"/>
        <v>262</v>
      </c>
      <c r="K36">
        <f t="shared" si="4"/>
        <v>707</v>
      </c>
      <c r="L36">
        <f t="shared" si="5"/>
        <v>13154</v>
      </c>
    </row>
    <row r="37" spans="1:12">
      <c r="A37" s="1">
        <v>43132</v>
      </c>
      <c r="B37">
        <v>370</v>
      </c>
      <c r="C37">
        <v>502</v>
      </c>
      <c r="D37">
        <v>306</v>
      </c>
      <c r="E37">
        <v>808</v>
      </c>
      <c r="F37">
        <v>18130</v>
      </c>
      <c r="H37">
        <f t="shared" si="1"/>
        <v>323</v>
      </c>
      <c r="I37">
        <f t="shared" si="2"/>
        <v>438</v>
      </c>
      <c r="J37">
        <f t="shared" si="3"/>
        <v>260</v>
      </c>
      <c r="K37">
        <f t="shared" si="4"/>
        <v>698</v>
      </c>
      <c r="L37">
        <f t="shared" si="5"/>
        <v>12995</v>
      </c>
    </row>
    <row r="38" spans="1:12">
      <c r="A38" s="1">
        <v>43160</v>
      </c>
      <c r="B38">
        <v>401</v>
      </c>
      <c r="C38">
        <v>570</v>
      </c>
      <c r="D38">
        <v>361</v>
      </c>
      <c r="E38">
        <v>970</v>
      </c>
      <c r="F38">
        <v>19649</v>
      </c>
      <c r="H38">
        <f t="shared" si="1"/>
        <v>322</v>
      </c>
      <c r="I38">
        <f t="shared" si="2"/>
        <v>440</v>
      </c>
      <c r="J38">
        <f t="shared" si="3"/>
        <v>263</v>
      </c>
      <c r="K38">
        <f t="shared" si="4"/>
        <v>707</v>
      </c>
      <c r="L38">
        <f t="shared" si="5"/>
        <v>12938</v>
      </c>
    </row>
    <row r="39" spans="1:12">
      <c r="A39" s="1">
        <v>43191</v>
      </c>
      <c r="B39">
        <v>279</v>
      </c>
      <c r="C39">
        <v>382</v>
      </c>
      <c r="D39">
        <v>251</v>
      </c>
      <c r="E39">
        <v>675</v>
      </c>
      <c r="F39">
        <v>8370</v>
      </c>
      <c r="H39">
        <f t="shared" si="1"/>
        <v>323</v>
      </c>
      <c r="I39">
        <f t="shared" si="2"/>
        <v>443</v>
      </c>
      <c r="J39">
        <f t="shared" si="3"/>
        <v>269</v>
      </c>
      <c r="K39">
        <f t="shared" si="4"/>
        <v>718</v>
      </c>
      <c r="L39">
        <f t="shared" si="5"/>
        <v>12965</v>
      </c>
    </row>
    <row r="40" spans="1:12">
      <c r="A40" s="1">
        <v>43221</v>
      </c>
      <c r="B40">
        <v>211</v>
      </c>
      <c r="C40">
        <v>293</v>
      </c>
      <c r="D40">
        <v>158</v>
      </c>
      <c r="E40">
        <v>511</v>
      </c>
      <c r="F40">
        <v>6330</v>
      </c>
      <c r="H40">
        <f t="shared" si="1"/>
        <v>319</v>
      </c>
      <c r="I40">
        <f t="shared" si="2"/>
        <v>439</v>
      </c>
      <c r="J40">
        <f t="shared" si="3"/>
        <v>266</v>
      </c>
      <c r="K40">
        <f t="shared" si="4"/>
        <v>717</v>
      </c>
      <c r="L40">
        <f t="shared" si="5"/>
        <v>12870</v>
      </c>
    </row>
    <row r="41" spans="1:12">
      <c r="A41" s="1">
        <v>43252</v>
      </c>
      <c r="B41">
        <v>202</v>
      </c>
      <c r="C41">
        <v>263</v>
      </c>
      <c r="D41">
        <v>128</v>
      </c>
      <c r="E41">
        <v>489</v>
      </c>
      <c r="F41">
        <v>6060</v>
      </c>
      <c r="H41">
        <f t="shared" si="1"/>
        <v>316</v>
      </c>
      <c r="I41">
        <f t="shared" si="2"/>
        <v>433</v>
      </c>
      <c r="J41">
        <f t="shared" si="3"/>
        <v>261</v>
      </c>
      <c r="K41">
        <f t="shared" si="4"/>
        <v>714</v>
      </c>
      <c r="L41">
        <f t="shared" si="5"/>
        <v>12770</v>
      </c>
    </row>
    <row r="42" spans="1:12">
      <c r="A42" s="1">
        <v>43282</v>
      </c>
      <c r="B42">
        <v>173</v>
      </c>
      <c r="C42">
        <v>235</v>
      </c>
      <c r="D42">
        <v>159</v>
      </c>
      <c r="E42">
        <v>394</v>
      </c>
      <c r="F42">
        <v>5190</v>
      </c>
      <c r="H42">
        <f t="shared" si="1"/>
        <v>311</v>
      </c>
      <c r="I42">
        <f t="shared" si="2"/>
        <v>426</v>
      </c>
      <c r="J42">
        <f t="shared" si="3"/>
        <v>257</v>
      </c>
      <c r="K42">
        <f t="shared" si="4"/>
        <v>702</v>
      </c>
      <c r="L42">
        <f t="shared" si="5"/>
        <v>12618</v>
      </c>
    </row>
    <row r="43" spans="1:12">
      <c r="A43" s="1">
        <v>43313</v>
      </c>
      <c r="B43">
        <v>230</v>
      </c>
      <c r="C43">
        <v>318</v>
      </c>
      <c r="D43">
        <v>199</v>
      </c>
      <c r="E43">
        <v>517</v>
      </c>
      <c r="F43">
        <v>6900</v>
      </c>
      <c r="H43">
        <f t="shared" si="1"/>
        <v>311</v>
      </c>
      <c r="I43">
        <f t="shared" si="2"/>
        <v>426</v>
      </c>
      <c r="J43">
        <f t="shared" si="3"/>
        <v>255</v>
      </c>
      <c r="K43">
        <f t="shared" si="4"/>
        <v>701</v>
      </c>
      <c r="L43">
        <f t="shared" si="5"/>
        <v>12610</v>
      </c>
    </row>
    <row r="44" spans="1:12">
      <c r="A44" s="1">
        <v>43344</v>
      </c>
      <c r="B44">
        <v>256</v>
      </c>
      <c r="C44">
        <v>371</v>
      </c>
      <c r="D44">
        <v>201</v>
      </c>
      <c r="E44">
        <v>572</v>
      </c>
      <c r="F44">
        <v>7680</v>
      </c>
      <c r="H44">
        <f t="shared" si="1"/>
        <v>309</v>
      </c>
      <c r="I44">
        <f t="shared" si="2"/>
        <v>426</v>
      </c>
      <c r="J44">
        <f t="shared" si="3"/>
        <v>256</v>
      </c>
      <c r="K44">
        <f t="shared" si="4"/>
        <v>702</v>
      </c>
      <c r="L44">
        <f t="shared" si="5"/>
        <v>12570</v>
      </c>
    </row>
    <row r="45" spans="1:12">
      <c r="A45" s="1">
        <v>43374</v>
      </c>
      <c r="B45">
        <v>314</v>
      </c>
      <c r="C45">
        <v>440</v>
      </c>
      <c r="D45">
        <v>241</v>
      </c>
      <c r="E45">
        <v>681</v>
      </c>
      <c r="F45">
        <v>9420</v>
      </c>
      <c r="H45">
        <f t="shared" si="1"/>
        <v>312</v>
      </c>
      <c r="I45">
        <f t="shared" si="2"/>
        <v>431</v>
      </c>
      <c r="J45">
        <f t="shared" si="3"/>
        <v>260</v>
      </c>
      <c r="K45">
        <f t="shared" si="4"/>
        <v>711</v>
      </c>
      <c r="L45">
        <f t="shared" si="5"/>
        <v>12648</v>
      </c>
    </row>
    <row r="46" spans="1:12">
      <c r="A46" s="1">
        <v>43405</v>
      </c>
      <c r="B46">
        <v>361</v>
      </c>
      <c r="C46">
        <v>497</v>
      </c>
      <c r="D46">
        <v>303</v>
      </c>
      <c r="E46">
        <v>800</v>
      </c>
      <c r="F46">
        <v>17689</v>
      </c>
      <c r="H46">
        <f t="shared" si="1"/>
        <v>306</v>
      </c>
      <c r="I46">
        <f t="shared" si="2"/>
        <v>424</v>
      </c>
      <c r="J46">
        <f t="shared" si="3"/>
        <v>255</v>
      </c>
      <c r="K46">
        <f t="shared" si="4"/>
        <v>699</v>
      </c>
      <c r="L46">
        <f t="shared" si="5"/>
        <v>12358</v>
      </c>
    </row>
    <row r="47" spans="1:12">
      <c r="A47" s="1">
        <v>43435</v>
      </c>
      <c r="B47">
        <v>336</v>
      </c>
      <c r="C47">
        <v>480</v>
      </c>
      <c r="D47">
        <v>319</v>
      </c>
      <c r="E47">
        <v>799</v>
      </c>
      <c r="F47">
        <v>16464</v>
      </c>
      <c r="H47">
        <f t="shared" si="1"/>
        <v>296</v>
      </c>
      <c r="I47">
        <f t="shared" si="2"/>
        <v>410</v>
      </c>
      <c r="J47">
        <f t="shared" si="3"/>
        <v>248</v>
      </c>
      <c r="K47">
        <f t="shared" si="4"/>
        <v>678</v>
      </c>
      <c r="L47">
        <f t="shared" si="5"/>
        <v>11872</v>
      </c>
    </row>
    <row r="48" spans="1:12">
      <c r="A48" s="1">
        <v>43466</v>
      </c>
      <c r="B48">
        <v>435</v>
      </c>
      <c r="C48">
        <v>640</v>
      </c>
      <c r="D48">
        <v>372</v>
      </c>
      <c r="E48">
        <v>1012</v>
      </c>
      <c r="F48">
        <v>21315</v>
      </c>
      <c r="H48">
        <f t="shared" si="1"/>
        <v>297</v>
      </c>
      <c r="I48">
        <f t="shared" si="2"/>
        <v>416</v>
      </c>
      <c r="J48">
        <f t="shared" si="3"/>
        <v>250</v>
      </c>
      <c r="K48">
        <f t="shared" si="4"/>
        <v>686</v>
      </c>
      <c r="L48">
        <f t="shared" si="5"/>
        <v>11933</v>
      </c>
    </row>
    <row r="49" spans="1:13">
      <c r="A49" s="1">
        <v>43497</v>
      </c>
      <c r="B49">
        <v>345</v>
      </c>
      <c r="C49">
        <v>479</v>
      </c>
      <c r="D49">
        <v>293</v>
      </c>
      <c r="E49">
        <v>772</v>
      </c>
      <c r="F49">
        <v>16905</v>
      </c>
      <c r="H49">
        <f t="shared" si="1"/>
        <v>295</v>
      </c>
      <c r="I49">
        <f t="shared" si="2"/>
        <v>414</v>
      </c>
      <c r="J49">
        <f t="shared" si="3"/>
        <v>249</v>
      </c>
      <c r="K49">
        <f t="shared" si="4"/>
        <v>683</v>
      </c>
      <c r="L49">
        <f t="shared" si="5"/>
        <v>11831</v>
      </c>
    </row>
    <row r="50" spans="1:13">
      <c r="A50" s="1">
        <v>43525</v>
      </c>
      <c r="B50">
        <v>237</v>
      </c>
      <c r="C50">
        <v>321</v>
      </c>
      <c r="D50">
        <v>223</v>
      </c>
      <c r="E50">
        <v>544</v>
      </c>
      <c r="F50">
        <v>11613</v>
      </c>
      <c r="H50">
        <f t="shared" si="1"/>
        <v>282</v>
      </c>
      <c r="I50">
        <f t="shared" si="2"/>
        <v>393</v>
      </c>
      <c r="J50">
        <f t="shared" si="3"/>
        <v>237</v>
      </c>
      <c r="K50">
        <f t="shared" si="4"/>
        <v>647</v>
      </c>
      <c r="L50">
        <f t="shared" si="5"/>
        <v>11161</v>
      </c>
    </row>
    <row r="51" spans="1:13">
      <c r="A51" s="1">
        <v>43556</v>
      </c>
      <c r="B51">
        <v>214</v>
      </c>
      <c r="C51">
        <v>297</v>
      </c>
      <c r="D51">
        <v>187</v>
      </c>
      <c r="E51">
        <v>484</v>
      </c>
      <c r="F51">
        <v>6420</v>
      </c>
      <c r="H51">
        <f t="shared" si="1"/>
        <v>276</v>
      </c>
      <c r="I51">
        <f t="shared" si="2"/>
        <v>386</v>
      </c>
      <c r="J51">
        <f t="shared" si="3"/>
        <v>232</v>
      </c>
      <c r="K51">
        <f t="shared" si="4"/>
        <v>631</v>
      </c>
      <c r="L51">
        <f t="shared" si="5"/>
        <v>10999</v>
      </c>
    </row>
    <row r="52" spans="1:13">
      <c r="A52" s="1">
        <v>43586</v>
      </c>
      <c r="B52">
        <v>224</v>
      </c>
      <c r="C52">
        <v>304</v>
      </c>
      <c r="D52">
        <v>184</v>
      </c>
      <c r="E52">
        <v>488</v>
      </c>
      <c r="F52">
        <v>6720</v>
      </c>
      <c r="H52">
        <f t="shared" si="1"/>
        <v>277</v>
      </c>
      <c r="I52">
        <f t="shared" si="2"/>
        <v>387</v>
      </c>
      <c r="J52">
        <f t="shared" si="3"/>
        <v>234</v>
      </c>
      <c r="K52">
        <f t="shared" si="4"/>
        <v>629</v>
      </c>
      <c r="L52">
        <f t="shared" si="5"/>
        <v>11031</v>
      </c>
    </row>
    <row r="53" spans="1:13">
      <c r="A53" s="1">
        <v>43617</v>
      </c>
      <c r="B53">
        <v>193</v>
      </c>
      <c r="C53">
        <v>187</v>
      </c>
      <c r="D53">
        <v>108</v>
      </c>
      <c r="E53">
        <v>295</v>
      </c>
      <c r="F53">
        <v>5790</v>
      </c>
      <c r="H53">
        <f t="shared" si="1"/>
        <v>277</v>
      </c>
      <c r="I53">
        <f t="shared" si="2"/>
        <v>381</v>
      </c>
      <c r="J53">
        <f t="shared" si="3"/>
        <v>232</v>
      </c>
      <c r="K53">
        <f t="shared" si="4"/>
        <v>613</v>
      </c>
      <c r="L53">
        <f t="shared" si="5"/>
        <v>11009</v>
      </c>
    </row>
    <row r="54" spans="1:13">
      <c r="A54" s="1">
        <v>43647</v>
      </c>
      <c r="B54">
        <v>205</v>
      </c>
      <c r="C54">
        <v>264</v>
      </c>
      <c r="D54">
        <v>213</v>
      </c>
      <c r="E54">
        <v>477</v>
      </c>
      <c r="F54">
        <v>6150</v>
      </c>
      <c r="H54">
        <f t="shared" si="1"/>
        <v>279</v>
      </c>
      <c r="I54">
        <f t="shared" si="2"/>
        <v>383</v>
      </c>
      <c r="J54">
        <f t="shared" si="3"/>
        <v>237</v>
      </c>
      <c r="K54">
        <f t="shared" si="4"/>
        <v>620</v>
      </c>
      <c r="L54">
        <f t="shared" si="5"/>
        <v>11089</v>
      </c>
    </row>
    <row r="55" spans="1:13">
      <c r="A55" s="1">
        <v>43678</v>
      </c>
      <c r="B55">
        <v>202</v>
      </c>
      <c r="C55">
        <v>265</v>
      </c>
      <c r="D55">
        <v>185</v>
      </c>
      <c r="E55">
        <v>450</v>
      </c>
      <c r="F55">
        <v>6060</v>
      </c>
      <c r="H55">
        <f t="shared" si="1"/>
        <v>277</v>
      </c>
      <c r="I55">
        <f t="shared" si="2"/>
        <v>379</v>
      </c>
      <c r="J55">
        <f t="shared" si="3"/>
        <v>236</v>
      </c>
      <c r="K55">
        <f t="shared" si="4"/>
        <v>615</v>
      </c>
      <c r="L55">
        <f t="shared" si="5"/>
        <v>11019</v>
      </c>
    </row>
    <row r="56" spans="1:13">
      <c r="A56" s="1">
        <v>43709</v>
      </c>
      <c r="B56">
        <v>208</v>
      </c>
      <c r="C56">
        <v>294</v>
      </c>
      <c r="D56">
        <v>202</v>
      </c>
      <c r="E56">
        <v>496</v>
      </c>
      <c r="F56">
        <v>6240</v>
      </c>
      <c r="H56">
        <f t="shared" si="1"/>
        <v>273</v>
      </c>
      <c r="I56">
        <f t="shared" si="2"/>
        <v>372</v>
      </c>
      <c r="J56">
        <f t="shared" si="3"/>
        <v>236</v>
      </c>
      <c r="K56">
        <f t="shared" si="4"/>
        <v>608</v>
      </c>
      <c r="L56">
        <f t="shared" si="5"/>
        <v>10899</v>
      </c>
    </row>
    <row r="57" spans="1:13">
      <c r="A57" s="1">
        <v>43739</v>
      </c>
      <c r="B57">
        <v>251</v>
      </c>
      <c r="C57">
        <v>345</v>
      </c>
      <c r="D57">
        <v>233</v>
      </c>
      <c r="E57">
        <v>578</v>
      </c>
      <c r="F57">
        <v>7530</v>
      </c>
      <c r="H57">
        <f t="shared" si="1"/>
        <v>268</v>
      </c>
      <c r="I57">
        <f t="shared" si="2"/>
        <v>364</v>
      </c>
      <c r="J57">
        <f t="shared" si="3"/>
        <v>235</v>
      </c>
      <c r="K57">
        <f t="shared" si="4"/>
        <v>600</v>
      </c>
      <c r="L57">
        <f t="shared" si="5"/>
        <v>10741</v>
      </c>
    </row>
    <row r="58" spans="1:13">
      <c r="A58" s="1">
        <v>43770</v>
      </c>
      <c r="B58">
        <v>333</v>
      </c>
      <c r="E58">
        <v>746</v>
      </c>
      <c r="F58">
        <v>16317</v>
      </c>
      <c r="H58">
        <f t="shared" si="1"/>
        <v>265</v>
      </c>
      <c r="K58">
        <f t="shared" si="4"/>
        <v>595</v>
      </c>
      <c r="L58">
        <f t="shared" si="5"/>
        <v>10627</v>
      </c>
    </row>
    <row r="59" spans="1:13">
      <c r="A59" s="1">
        <v>43800</v>
      </c>
      <c r="B59">
        <v>265</v>
      </c>
      <c r="E59">
        <v>594</v>
      </c>
      <c r="F59">
        <v>12985</v>
      </c>
      <c r="H59">
        <f t="shared" si="1"/>
        <v>259</v>
      </c>
      <c r="K59">
        <f t="shared" si="4"/>
        <v>578</v>
      </c>
      <c r="L59">
        <f t="shared" si="5"/>
        <v>10337</v>
      </c>
    </row>
    <row r="60" spans="1:13">
      <c r="A60" s="1"/>
    </row>
    <row r="61" spans="1:13">
      <c r="A61" s="1"/>
    </row>
    <row r="62" spans="1:13">
      <c r="A62" s="1"/>
      <c r="H62">
        <v>280</v>
      </c>
      <c r="L62">
        <v>12000</v>
      </c>
    </row>
    <row r="63" spans="1:13">
      <c r="A63" s="1"/>
      <c r="L63">
        <v>150000</v>
      </c>
      <c r="M63" t="s">
        <v>197</v>
      </c>
    </row>
    <row r="64" spans="1:13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C1BEEF819D548B71E06D30B071C6C" ma:contentTypeVersion="2" ma:contentTypeDescription="Create a new document." ma:contentTypeScope="" ma:versionID="4ebf3fea153aa1a559ffca05bbe639e3">
  <xsd:schema xmlns:xsd="http://www.w3.org/2001/XMLSchema" xmlns:xs="http://www.w3.org/2001/XMLSchema" xmlns:p="http://schemas.microsoft.com/office/2006/metadata/properties" xmlns:ns2="747b61de-0cc2-40cd-b4a6-9bd499fb6483" targetNamespace="http://schemas.microsoft.com/office/2006/metadata/properties" ma:root="true" ma:fieldsID="c3b1787c81ec90673a715e6c52787d4c" ns2:_="">
    <xsd:import namespace="747b61de-0cc2-40cd-b4a6-9bd499fb64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b61de-0cc2-40cd-b4a6-9bd499fb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86A655-1321-44D3-9EA8-A928EE5AE9A7}"/>
</file>

<file path=customXml/itemProps2.xml><?xml version="1.0" encoding="utf-8"?>
<ds:datastoreItem xmlns:ds="http://schemas.openxmlformats.org/officeDocument/2006/customXml" ds:itemID="{271D50B6-755B-4383-989D-8A8867E5CAA5}"/>
</file>

<file path=customXml/itemProps3.xml><?xml version="1.0" encoding="utf-8"?>
<ds:datastoreItem xmlns:ds="http://schemas.openxmlformats.org/officeDocument/2006/customXml" ds:itemID="{321FACFC-E870-4DEC-9BB8-310A46BEC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Durham Vineyard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</dc:creator>
  <cp:keywords/>
  <dc:description/>
  <cp:lastModifiedBy>Alastair MacLellan</cp:lastModifiedBy>
  <cp:revision/>
  <dcterms:created xsi:type="dcterms:W3CDTF">2012-03-14T17:30:24Z</dcterms:created>
  <dcterms:modified xsi:type="dcterms:W3CDTF">2022-10-27T11:36:38Z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0x010100DBEC1BEEF819D548B71E06D30B071C6C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